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hartEx2.xml" ContentType="application/vnd.ms-office.chartex+xml"/>
  <Override PartName="/xl/charts/chartEx3.xml" ContentType="application/vnd.ms-office.chartex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Dane wyjściowe" sheetId="1" r:id="rId1"/>
    <sheet name="Zmienność parametrów" sheetId="3" r:id="rId2"/>
    <sheet name="Wskaźniki finansowe" sheetId="4" r:id="rId3"/>
    <sheet name="Korelacja " sheetId="5" r:id="rId4"/>
    <sheet name="Zmienność wskaźników płynności" sheetId="2" r:id="rId5"/>
    <sheet name="Dzwignie" sheetId="7" r:id="rId6"/>
    <sheet name="Kapitał obrotowy netto" sheetId="6" r:id="rId7"/>
  </sheets>
  <definedNames>
    <definedName name="_xlchart.v2.0" hidden="1">'Zmienność parametrów'!$H$19:$H$30</definedName>
    <definedName name="_xlchart.v2.1" hidden="1">'Zmienność parametrów'!$I$19:$I$30</definedName>
    <definedName name="_xlchart.v2.2" hidden="1">'Wskaźniki finansowe'!$M$30:$M$33</definedName>
    <definedName name="_xlchart.v2.3" hidden="1">'Wskaźniki finansowe'!$N$30:$N$33</definedName>
    <definedName name="_xlchart.v2.4" hidden="1">'Wskaźniki finansowe'!$O$15:$O$17</definedName>
    <definedName name="_xlchart.v2.5" hidden="1">'Wskaźniki finansowe'!$P$15:$P$17</definedName>
    <definedName name="_xlchart.v2.6" hidden="1">'Wskaźniki finansowe'!$R$15:$R$18</definedName>
    <definedName name="_xlchart.v2.7" hidden="1">'Wskaźniki finansowe'!$S$15:$S$18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7" l="1"/>
  <c r="J19" i="7"/>
  <c r="I19" i="7"/>
  <c r="H19" i="7"/>
  <c r="G19" i="7"/>
  <c r="F19" i="7"/>
  <c r="E19" i="7"/>
  <c r="D19" i="7"/>
  <c r="M19" i="7" s="1"/>
  <c r="C19" i="7"/>
  <c r="M31" i="1"/>
  <c r="M30" i="1"/>
  <c r="M29" i="1"/>
  <c r="M28" i="1"/>
  <c r="M27" i="1"/>
  <c r="M25" i="1"/>
  <c r="M24" i="1"/>
  <c r="K7" i="7"/>
  <c r="J7" i="7"/>
  <c r="I7" i="7"/>
  <c r="H7" i="7"/>
  <c r="G7" i="7"/>
  <c r="F7" i="7"/>
  <c r="E7" i="7"/>
  <c r="D7" i="7"/>
  <c r="C7" i="7"/>
  <c r="K8" i="7"/>
  <c r="J8" i="7"/>
  <c r="J18" i="7" s="1"/>
  <c r="J20" i="7" s="1"/>
  <c r="J27" i="7" s="1"/>
  <c r="I8" i="7"/>
  <c r="I18" i="7" s="1"/>
  <c r="H8" i="7"/>
  <c r="H18" i="7" s="1"/>
  <c r="G8" i="7"/>
  <c r="F8" i="7"/>
  <c r="E8" i="7"/>
  <c r="E18" i="7" s="1"/>
  <c r="D8" i="7"/>
  <c r="D18" i="7" s="1"/>
  <c r="C8" i="7"/>
  <c r="K6" i="7"/>
  <c r="J6" i="7"/>
  <c r="J9" i="7" s="1"/>
  <c r="J26" i="7" s="1"/>
  <c r="I6" i="7"/>
  <c r="H6" i="7"/>
  <c r="G6" i="7"/>
  <c r="F6" i="7"/>
  <c r="F9" i="7" s="1"/>
  <c r="F26" i="7" s="1"/>
  <c r="E6" i="7"/>
  <c r="D6" i="7"/>
  <c r="C6" i="7"/>
  <c r="K18" i="7"/>
  <c r="K20" i="7" s="1"/>
  <c r="K27" i="7" s="1"/>
  <c r="K9" i="7"/>
  <c r="K26" i="7" s="1"/>
  <c r="G18" i="7"/>
  <c r="G20" i="7" s="1"/>
  <c r="G27" i="7" s="1"/>
  <c r="F18" i="7"/>
  <c r="F20" i="7" s="1"/>
  <c r="F27" i="7" s="1"/>
  <c r="C18" i="7"/>
  <c r="G9" i="7"/>
  <c r="G26" i="7" s="1"/>
  <c r="E9" i="7" l="1"/>
  <c r="E26" i="7" s="1"/>
  <c r="I9" i="7"/>
  <c r="I26" i="7" s="1"/>
  <c r="M7" i="7"/>
  <c r="D20" i="7"/>
  <c r="D27" i="7" s="1"/>
  <c r="L19" i="7"/>
  <c r="E20" i="7"/>
  <c r="E27" i="7" s="1"/>
  <c r="E28" i="7" s="1"/>
  <c r="I20" i="7"/>
  <c r="I27" i="7" s="1"/>
  <c r="I28" i="7" s="1"/>
  <c r="N19" i="7"/>
  <c r="L7" i="7"/>
  <c r="M8" i="7"/>
  <c r="L8" i="7"/>
  <c r="N8" i="7"/>
  <c r="M18" i="7"/>
  <c r="D9" i="7"/>
  <c r="D26" i="7" s="1"/>
  <c r="D28" i="7" s="1"/>
  <c r="H9" i="7"/>
  <c r="H26" i="7" s="1"/>
  <c r="L6" i="7"/>
  <c r="C9" i="7"/>
  <c r="C26" i="7" s="1"/>
  <c r="M6" i="7"/>
  <c r="L18" i="7"/>
  <c r="J28" i="7"/>
  <c r="F28" i="7"/>
  <c r="K28" i="7"/>
  <c r="H20" i="7"/>
  <c r="H27" i="7" s="1"/>
  <c r="G28" i="7"/>
  <c r="C20" i="7"/>
  <c r="N7" i="7" l="1"/>
  <c r="H28" i="7"/>
  <c r="N18" i="7"/>
  <c r="L9" i="7"/>
  <c r="O6" i="7"/>
  <c r="N6" i="7"/>
  <c r="Q8" i="7"/>
  <c r="M9" i="7"/>
  <c r="N9" i="7" s="1"/>
  <c r="P7" i="7"/>
  <c r="M26" i="7"/>
  <c r="L26" i="7"/>
  <c r="P19" i="7"/>
  <c r="O18" i="7"/>
  <c r="L20" i="7"/>
  <c r="M20" i="7"/>
  <c r="C27" i="7"/>
  <c r="M27" i="7" l="1"/>
  <c r="L27" i="7"/>
  <c r="N26" i="7"/>
  <c r="N20" i="7"/>
  <c r="C28" i="7"/>
  <c r="P27" i="7" l="1"/>
  <c r="O26" i="7"/>
  <c r="L28" i="7"/>
  <c r="M28" i="7"/>
  <c r="N27" i="7"/>
  <c r="N28" i="7" l="1"/>
  <c r="M33" i="4" l="1"/>
  <c r="M32" i="4"/>
  <c r="M31" i="4"/>
  <c r="M30" i="4"/>
  <c r="O17" i="4"/>
  <c r="O16" i="4"/>
  <c r="O15" i="4"/>
  <c r="D15" i="3"/>
  <c r="D14" i="3"/>
  <c r="D13" i="3"/>
  <c r="D12" i="3"/>
  <c r="D11" i="3"/>
  <c r="D10" i="3"/>
  <c r="C15" i="3"/>
  <c r="G15" i="3" s="1"/>
  <c r="C14" i="3"/>
  <c r="G14" i="3" s="1"/>
  <c r="C13" i="3"/>
  <c r="H13" i="3" s="1"/>
  <c r="C12" i="3"/>
  <c r="H12" i="3" s="1"/>
  <c r="C11" i="3"/>
  <c r="G11" i="3" s="1"/>
  <c r="C10" i="3"/>
  <c r="G10" i="3" s="1"/>
  <c r="C9" i="3"/>
  <c r="C8" i="3"/>
  <c r="C7" i="3"/>
  <c r="G7" i="3" s="1"/>
  <c r="C6" i="3"/>
  <c r="G6" i="3" s="1"/>
  <c r="C5" i="3"/>
  <c r="G5" i="3" s="1"/>
  <c r="D9" i="3"/>
  <c r="D8" i="3"/>
  <c r="D7" i="3"/>
  <c r="D6" i="3"/>
  <c r="D5" i="3"/>
  <c r="H8" i="3" l="1"/>
  <c r="H9" i="3"/>
  <c r="G12" i="3"/>
  <c r="F8" i="3"/>
  <c r="I8" i="3" s="1"/>
  <c r="I22" i="3" s="1"/>
  <c r="F12" i="3"/>
  <c r="I12" i="3"/>
  <c r="I26" i="3" s="1"/>
  <c r="G8" i="3"/>
  <c r="H5" i="3"/>
  <c r="F5" i="3"/>
  <c r="F9" i="3"/>
  <c r="I9" i="3" s="1"/>
  <c r="I23" i="3" s="1"/>
  <c r="F13" i="3"/>
  <c r="I13" i="3" s="1"/>
  <c r="I27" i="3" s="1"/>
  <c r="G9" i="3"/>
  <c r="G13" i="3"/>
  <c r="H6" i="3"/>
  <c r="H10" i="3"/>
  <c r="I10" i="3" s="1"/>
  <c r="I24" i="3" s="1"/>
  <c r="H14" i="3"/>
  <c r="I14" i="3" s="1"/>
  <c r="I28" i="3" s="1"/>
  <c r="F6" i="3"/>
  <c r="F10" i="3"/>
  <c r="F14" i="3"/>
  <c r="H7" i="3"/>
  <c r="I7" i="3" s="1"/>
  <c r="I21" i="3" s="1"/>
  <c r="H11" i="3"/>
  <c r="H15" i="3"/>
  <c r="F7" i="3"/>
  <c r="F11" i="3"/>
  <c r="F15" i="3"/>
  <c r="C30" i="1"/>
  <c r="D30" i="1"/>
  <c r="E30" i="1"/>
  <c r="E31" i="1" s="1"/>
  <c r="F30" i="1"/>
  <c r="F31" i="1" s="1"/>
  <c r="G30" i="1"/>
  <c r="H30" i="1"/>
  <c r="I30" i="1"/>
  <c r="J30" i="1"/>
  <c r="K30" i="1"/>
  <c r="L30" i="1"/>
  <c r="C8" i="5"/>
  <c r="D8" i="5"/>
  <c r="E8" i="5"/>
  <c r="F8" i="5"/>
  <c r="G8" i="5"/>
  <c r="H8" i="5"/>
  <c r="I8" i="5"/>
  <c r="J8" i="5"/>
  <c r="K8" i="5"/>
  <c r="L8" i="5"/>
  <c r="C7" i="5"/>
  <c r="D7" i="5"/>
  <c r="E7" i="5"/>
  <c r="F7" i="5"/>
  <c r="G7" i="5"/>
  <c r="H7" i="5"/>
  <c r="I7" i="5"/>
  <c r="J7" i="5"/>
  <c r="K7" i="5"/>
  <c r="L7" i="5"/>
  <c r="I11" i="3" l="1"/>
  <c r="I25" i="3" s="1"/>
  <c r="I5" i="3"/>
  <c r="I19" i="3" s="1"/>
  <c r="I15" i="3"/>
  <c r="I29" i="3" s="1"/>
  <c r="I6" i="3"/>
  <c r="I20" i="3" s="1"/>
  <c r="K31" i="1"/>
  <c r="I31" i="1"/>
  <c r="G31" i="1"/>
  <c r="L31" i="1"/>
  <c r="H31" i="1"/>
  <c r="D31" i="1"/>
  <c r="J31" i="1"/>
  <c r="C24" i="1"/>
  <c r="C28" i="1" s="1"/>
  <c r="D27" i="1"/>
  <c r="D24" i="1"/>
  <c r="D28" i="1" s="1"/>
  <c r="C17" i="1"/>
  <c r="E27" i="1"/>
  <c r="F27" i="1"/>
  <c r="G27" i="1"/>
  <c r="H27" i="1"/>
  <c r="I27" i="1"/>
  <c r="J27" i="1"/>
  <c r="K27" i="1"/>
  <c r="L27" i="1"/>
  <c r="D29" i="1" l="1"/>
  <c r="D25" i="1"/>
  <c r="C12" i="4" s="1"/>
  <c r="E24" i="1"/>
  <c r="E28" i="1" s="1"/>
  <c r="E29" i="1" s="1"/>
  <c r="F24" i="1"/>
  <c r="F28" i="1" s="1"/>
  <c r="G24" i="1"/>
  <c r="G28" i="1" s="1"/>
  <c r="H24" i="1"/>
  <c r="H28" i="1" s="1"/>
  <c r="H29" i="1" s="1"/>
  <c r="I24" i="1"/>
  <c r="I28" i="1" s="1"/>
  <c r="I29" i="1" s="1"/>
  <c r="J24" i="1"/>
  <c r="J28" i="1" s="1"/>
  <c r="J29" i="1" s="1"/>
  <c r="K24" i="1"/>
  <c r="K28" i="1" s="1"/>
  <c r="L24" i="1"/>
  <c r="L28" i="1" s="1"/>
  <c r="C11" i="4"/>
  <c r="D11" i="4"/>
  <c r="E11" i="4"/>
  <c r="F11" i="4"/>
  <c r="G11" i="4"/>
  <c r="H11" i="4"/>
  <c r="I11" i="4"/>
  <c r="J11" i="4"/>
  <c r="K11" i="4"/>
  <c r="C10" i="4"/>
  <c r="D10" i="4"/>
  <c r="E9" i="5" s="1"/>
  <c r="E10" i="4"/>
  <c r="F9" i="5" s="1"/>
  <c r="F10" i="4"/>
  <c r="G9" i="5" s="1"/>
  <c r="G10" i="4"/>
  <c r="H9" i="5" s="1"/>
  <c r="H10" i="4"/>
  <c r="I9" i="5" s="1"/>
  <c r="I10" i="4"/>
  <c r="J9" i="5" s="1"/>
  <c r="J10" i="4"/>
  <c r="K9" i="5" s="1"/>
  <c r="K10" i="4"/>
  <c r="L9" i="5" s="1"/>
  <c r="C9" i="4"/>
  <c r="D9" i="4"/>
  <c r="E9" i="4"/>
  <c r="F9" i="4"/>
  <c r="G9" i="4"/>
  <c r="H9" i="4"/>
  <c r="I9" i="4"/>
  <c r="J9" i="4"/>
  <c r="K9" i="4"/>
  <c r="C8" i="4"/>
  <c r="D8" i="4"/>
  <c r="E8" i="4"/>
  <c r="F8" i="4"/>
  <c r="G8" i="4"/>
  <c r="H8" i="4"/>
  <c r="I8" i="4"/>
  <c r="J8" i="4"/>
  <c r="K8" i="4"/>
  <c r="C7" i="4"/>
  <c r="D7" i="4"/>
  <c r="E7" i="4"/>
  <c r="F7" i="4"/>
  <c r="G7" i="4"/>
  <c r="H7" i="4"/>
  <c r="I7" i="4"/>
  <c r="J7" i="4"/>
  <c r="K7" i="4"/>
  <c r="C6" i="4"/>
  <c r="D6" i="4"/>
  <c r="E6" i="4"/>
  <c r="F6" i="4"/>
  <c r="G6" i="4"/>
  <c r="H6" i="4"/>
  <c r="I6" i="4"/>
  <c r="J6" i="4"/>
  <c r="K6" i="4"/>
  <c r="E12" i="3"/>
  <c r="E8" i="3"/>
  <c r="D17" i="1"/>
  <c r="C16" i="3" s="1"/>
  <c r="E17" i="1"/>
  <c r="F17" i="1"/>
  <c r="G17" i="1"/>
  <c r="H17" i="1"/>
  <c r="I17" i="1"/>
  <c r="J17" i="1"/>
  <c r="K17" i="1"/>
  <c r="L17" i="1"/>
  <c r="D21" i="5" l="1"/>
  <c r="C21" i="5"/>
  <c r="K21" i="5"/>
  <c r="F21" i="5"/>
  <c r="I21" i="5"/>
  <c r="E21" i="5"/>
  <c r="H21" i="5"/>
  <c r="G21" i="5"/>
  <c r="F22" i="5"/>
  <c r="H22" i="5"/>
  <c r="G22" i="5"/>
  <c r="E22" i="5"/>
  <c r="I22" i="5"/>
  <c r="D22" i="5"/>
  <c r="C22" i="5"/>
  <c r="K22" i="5"/>
  <c r="F20" i="5"/>
  <c r="I20" i="5"/>
  <c r="C20" i="5"/>
  <c r="H20" i="5"/>
  <c r="D20" i="5"/>
  <c r="K20" i="5"/>
  <c r="G20" i="5"/>
  <c r="J20" i="5"/>
  <c r="E20" i="5"/>
  <c r="F24" i="5"/>
  <c r="E24" i="5"/>
  <c r="K24" i="5"/>
  <c r="D24" i="5"/>
  <c r="G24" i="5"/>
  <c r="C24" i="5"/>
  <c r="D23" i="5"/>
  <c r="I25" i="5"/>
  <c r="F25" i="5"/>
  <c r="H25" i="5"/>
  <c r="E25" i="5"/>
  <c r="K25" i="5"/>
  <c r="G25" i="5"/>
  <c r="D25" i="5"/>
  <c r="C25" i="5"/>
  <c r="I23" i="5"/>
  <c r="J23" i="5"/>
  <c r="E23" i="5"/>
  <c r="K23" i="5"/>
  <c r="H23" i="5"/>
  <c r="G23" i="5"/>
  <c r="C23" i="5"/>
  <c r="F23" i="5"/>
  <c r="G16" i="3"/>
  <c r="L11" i="4"/>
  <c r="P11" i="4" s="1"/>
  <c r="M11" i="4"/>
  <c r="L6" i="4"/>
  <c r="P6" i="4" s="1"/>
  <c r="M6" i="4"/>
  <c r="D9" i="5"/>
  <c r="L10" i="4"/>
  <c r="P10" i="4" s="1"/>
  <c r="M10" i="4"/>
  <c r="L7" i="4"/>
  <c r="P7" i="4" s="1"/>
  <c r="M7" i="4"/>
  <c r="M8" i="4"/>
  <c r="L8" i="4"/>
  <c r="P8" i="4" s="1"/>
  <c r="L9" i="4"/>
  <c r="P9" i="4" s="1"/>
  <c r="M9" i="4"/>
  <c r="F29" i="1"/>
  <c r="D16" i="3"/>
  <c r="H16" i="3" s="1"/>
  <c r="L29" i="1"/>
  <c r="J21" i="5" s="1"/>
  <c r="E5" i="3"/>
  <c r="F25" i="1"/>
  <c r="E12" i="4" s="1"/>
  <c r="J25" i="1"/>
  <c r="I12" i="4" s="1"/>
  <c r="E6" i="3"/>
  <c r="E10" i="3"/>
  <c r="E14" i="3"/>
  <c r="I25" i="1"/>
  <c r="H12" i="4" s="1"/>
  <c r="E25" i="1"/>
  <c r="D12" i="4" s="1"/>
  <c r="E9" i="3"/>
  <c r="E13" i="3"/>
  <c r="E7" i="3"/>
  <c r="E11" i="3"/>
  <c r="E15" i="3"/>
  <c r="L25" i="1"/>
  <c r="K12" i="4" s="1"/>
  <c r="H25" i="1"/>
  <c r="G12" i="4" s="1"/>
  <c r="K29" i="1"/>
  <c r="G29" i="1"/>
  <c r="K25" i="1"/>
  <c r="J12" i="4" s="1"/>
  <c r="G25" i="1"/>
  <c r="F12" i="4" s="1"/>
  <c r="C29" i="2"/>
  <c r="C25" i="2"/>
  <c r="D25" i="2" s="1"/>
  <c r="C21" i="2"/>
  <c r="D21" i="2" s="1"/>
  <c r="E21" i="2" s="1"/>
  <c r="F21" i="2" s="1"/>
  <c r="G21" i="2" s="1"/>
  <c r="H21" i="2" s="1"/>
  <c r="I21" i="2" s="1"/>
  <c r="J21" i="2" s="1"/>
  <c r="K21" i="2" s="1"/>
  <c r="C17" i="2"/>
  <c r="J22" i="5" l="1"/>
  <c r="J25" i="5"/>
  <c r="J24" i="5"/>
  <c r="C9" i="5"/>
  <c r="F16" i="3"/>
  <c r="I16" i="3" s="1"/>
  <c r="I30" i="3" s="1"/>
  <c r="O9" i="4"/>
  <c r="Q9" i="4"/>
  <c r="R9" i="4" s="1"/>
  <c r="N30" i="4" s="1"/>
  <c r="Q7" i="4"/>
  <c r="O7" i="4"/>
  <c r="Q8" i="4"/>
  <c r="O8" i="4"/>
  <c r="O6" i="4"/>
  <c r="Q6" i="4"/>
  <c r="R6" i="4" s="1"/>
  <c r="P15" i="4" s="1"/>
  <c r="M12" i="4"/>
  <c r="O10" i="4"/>
  <c r="Q10" i="4"/>
  <c r="L12" i="4"/>
  <c r="P12" i="4" s="1"/>
  <c r="O11" i="4"/>
  <c r="Q11" i="4"/>
  <c r="N6" i="4"/>
  <c r="N8" i="4"/>
  <c r="N10" i="4"/>
  <c r="E16" i="3"/>
  <c r="N7" i="4"/>
  <c r="N9" i="4"/>
  <c r="N11" i="4"/>
  <c r="D29" i="2"/>
  <c r="E25" i="2"/>
  <c r="D17" i="2"/>
  <c r="R10" i="4" l="1"/>
  <c r="N31" i="4" s="1"/>
  <c r="C10" i="5"/>
  <c r="I24" i="5" s="1"/>
  <c r="C11" i="5"/>
  <c r="H24" i="5" s="1"/>
  <c r="R7" i="4"/>
  <c r="P16" i="4" s="1"/>
  <c r="R11" i="4"/>
  <c r="N32" i="4" s="1"/>
  <c r="O12" i="4"/>
  <c r="Q12" i="4"/>
  <c r="R12" i="4" s="1"/>
  <c r="N33" i="4" s="1"/>
  <c r="R8" i="4"/>
  <c r="P17" i="4" s="1"/>
  <c r="N12" i="4"/>
  <c r="E17" i="2"/>
  <c r="E29" i="2"/>
  <c r="F25" i="2"/>
  <c r="F17" i="2" l="1"/>
  <c r="F29" i="2"/>
  <c r="G25" i="2"/>
  <c r="G17" i="2" l="1"/>
  <c r="G29" i="2"/>
  <c r="H25" i="2"/>
  <c r="H17" i="2" l="1"/>
  <c r="H29" i="2"/>
  <c r="I25" i="2"/>
  <c r="I17" i="2" l="1"/>
  <c r="I29" i="2"/>
  <c r="J25" i="2"/>
  <c r="J17" i="2" l="1"/>
  <c r="J29" i="2"/>
  <c r="K25" i="2"/>
  <c r="K17" i="2" l="1"/>
  <c r="K29" i="2"/>
  <c r="C8" i="2" l="1"/>
  <c r="K30" i="2" s="1"/>
  <c r="D8" i="2"/>
  <c r="J30" i="2" s="1"/>
  <c r="E8" i="2"/>
  <c r="I30" i="2" s="1"/>
  <c r="F8" i="2"/>
  <c r="H30" i="2" s="1"/>
  <c r="G8" i="2"/>
  <c r="G30" i="2" s="1"/>
  <c r="H8" i="2"/>
  <c r="F30" i="2" s="1"/>
  <c r="I8" i="2"/>
  <c r="E30" i="2" s="1"/>
  <c r="J8" i="2"/>
  <c r="D30" i="2" s="1"/>
  <c r="C7" i="2"/>
  <c r="D7" i="2"/>
  <c r="J26" i="2" s="1"/>
  <c r="E7" i="2"/>
  <c r="I26" i="2" s="1"/>
  <c r="F7" i="2"/>
  <c r="H26" i="2" s="1"/>
  <c r="G7" i="2"/>
  <c r="G26" i="2" s="1"/>
  <c r="H7" i="2"/>
  <c r="F26" i="2" s="1"/>
  <c r="I7" i="2"/>
  <c r="E26" i="2" s="1"/>
  <c r="J7" i="2"/>
  <c r="D26" i="2" s="1"/>
  <c r="K8" i="2"/>
  <c r="C30" i="2" s="1"/>
  <c r="K7" i="2"/>
  <c r="C26" i="2" s="1"/>
  <c r="C6" i="2"/>
  <c r="K22" i="2" s="1"/>
  <c r="D6" i="2"/>
  <c r="J22" i="2" s="1"/>
  <c r="E6" i="2"/>
  <c r="I22" i="2" s="1"/>
  <c r="F6" i="2"/>
  <c r="H22" i="2" s="1"/>
  <c r="G6" i="2"/>
  <c r="G22" i="2" s="1"/>
  <c r="H6" i="2"/>
  <c r="F22" i="2" s="1"/>
  <c r="I6" i="2"/>
  <c r="E22" i="2" s="1"/>
  <c r="J6" i="2"/>
  <c r="D22" i="2" s="1"/>
  <c r="K6" i="2"/>
  <c r="C22" i="2" s="1"/>
  <c r="C5" i="2"/>
  <c r="K18" i="2" s="1"/>
  <c r="D5" i="2"/>
  <c r="J18" i="2" s="1"/>
  <c r="E5" i="2"/>
  <c r="I18" i="2" s="1"/>
  <c r="F5" i="2"/>
  <c r="H18" i="2" s="1"/>
  <c r="G5" i="2"/>
  <c r="G18" i="2" s="1"/>
  <c r="H5" i="2"/>
  <c r="F18" i="2" s="1"/>
  <c r="I5" i="2"/>
  <c r="E18" i="2" s="1"/>
  <c r="J5" i="2"/>
  <c r="D18" i="2" s="1"/>
  <c r="K5" i="2"/>
  <c r="C18" i="2" s="1"/>
  <c r="I9" i="2" l="1"/>
  <c r="E10" i="2"/>
  <c r="I10" i="2"/>
  <c r="C10" i="2"/>
  <c r="C9" i="2"/>
  <c r="K26" i="2"/>
  <c r="E9" i="2"/>
  <c r="H10" i="2"/>
  <c r="F11" i="2"/>
  <c r="G9" i="2"/>
  <c r="F10" i="2"/>
  <c r="C11" i="2"/>
  <c r="D11" i="2"/>
  <c r="D37" i="2"/>
  <c r="D38" i="2"/>
  <c r="D36" i="2"/>
  <c r="D45" i="2" s="1"/>
  <c r="D10" i="2"/>
  <c r="E11" i="2"/>
  <c r="E38" i="2"/>
  <c r="E47" i="2" s="1"/>
  <c r="E37" i="2"/>
  <c r="E46" i="2" s="1"/>
  <c r="E36" i="2"/>
  <c r="E45" i="2" s="1"/>
  <c r="F38" i="2"/>
  <c r="F37" i="2"/>
  <c r="F46" i="2" s="1"/>
  <c r="F36" i="2"/>
  <c r="F45" i="2" s="1"/>
  <c r="G10" i="2"/>
  <c r="G37" i="2"/>
  <c r="G38" i="2"/>
  <c r="G36" i="2"/>
  <c r="G45" i="2" s="1"/>
  <c r="G11" i="2"/>
  <c r="H38" i="2"/>
  <c r="H37" i="2"/>
  <c r="H36" i="2"/>
  <c r="H11" i="2"/>
  <c r="I11" i="2"/>
  <c r="I37" i="2"/>
  <c r="I46" i="2" s="1"/>
  <c r="I38" i="2"/>
  <c r="I47" i="2" s="1"/>
  <c r="I36" i="2"/>
  <c r="I45" i="2" s="1"/>
  <c r="J37" i="2"/>
  <c r="J38" i="2"/>
  <c r="J47" i="2" s="1"/>
  <c r="J36" i="2"/>
  <c r="J45" i="2" s="1"/>
  <c r="J10" i="2"/>
  <c r="J11" i="2"/>
  <c r="K37" i="2"/>
  <c r="K36" i="2"/>
  <c r="K38" i="2"/>
  <c r="K11" i="2"/>
  <c r="K10" i="2"/>
  <c r="H9" i="2"/>
  <c r="D9" i="2"/>
  <c r="J9" i="2"/>
  <c r="F9" i="2"/>
  <c r="K9" i="2"/>
  <c r="K46" i="2" l="1"/>
  <c r="G47" i="2"/>
  <c r="D47" i="2"/>
  <c r="J46" i="2"/>
  <c r="H47" i="2"/>
  <c r="G46" i="2"/>
  <c r="F47" i="2"/>
  <c r="D46" i="2"/>
  <c r="H46" i="2"/>
  <c r="K45" i="2"/>
  <c r="H45" i="2"/>
  <c r="K47" i="2"/>
  <c r="C37" i="2"/>
  <c r="C46" i="2" s="1"/>
  <c r="C38" i="2"/>
  <c r="C47" i="2" s="1"/>
  <c r="C36" i="2"/>
  <c r="C45" i="2" s="1"/>
</calcChain>
</file>

<file path=xl/sharedStrings.xml><?xml version="1.0" encoding="utf-8"?>
<sst xmlns="http://schemas.openxmlformats.org/spreadsheetml/2006/main" count="206" uniqueCount="105">
  <si>
    <t>Przychody ze sprzedaży</t>
  </si>
  <si>
    <t>Koszt własny</t>
  </si>
  <si>
    <t>Zysk operacyjny</t>
  </si>
  <si>
    <t>Zysk netto</t>
  </si>
  <si>
    <t>Kapitał własny</t>
  </si>
  <si>
    <t>Zapasy</t>
  </si>
  <si>
    <t>Naleznosci</t>
  </si>
  <si>
    <t>Zobowiązania bieżące</t>
  </si>
  <si>
    <t>Pozycja finansowa</t>
  </si>
  <si>
    <t>Parametry finansowe</t>
  </si>
  <si>
    <t>Należności</t>
  </si>
  <si>
    <t xml:space="preserve">Wskaźnik płynności bieżącej </t>
  </si>
  <si>
    <t>Wskaźnik płynności szybkiej</t>
  </si>
  <si>
    <t>Wskaźnik płynności gotówkowej</t>
  </si>
  <si>
    <t>Środki pieniężne</t>
  </si>
  <si>
    <t>Zmiana poziomu zapasów</t>
  </si>
  <si>
    <t>Zmiana poziomu należności</t>
  </si>
  <si>
    <t>Zmiana poziomu zobowiązań</t>
  </si>
  <si>
    <t>Zmiana poziomu gotówki</t>
  </si>
  <si>
    <t>Parametry/ Wskaźniki finansowe</t>
  </si>
  <si>
    <t>Zobowiązania długoterminowe</t>
  </si>
  <si>
    <t>Aktywa</t>
  </si>
  <si>
    <t>Pasywa</t>
  </si>
  <si>
    <t>Wskaźnik płynności bieżącej</t>
  </si>
  <si>
    <t xml:space="preserve">Wskaźnik płynności natychmiastowej </t>
  </si>
  <si>
    <t>Rentowność aktywów (ROA)</t>
  </si>
  <si>
    <t>Rentowność sprzedaży (ROS)</t>
  </si>
  <si>
    <t>Rentowność kapitałów własnych (ROE)</t>
  </si>
  <si>
    <t>Rentowność zainwestowanego kapitału (ROIC)</t>
  </si>
  <si>
    <t>Gotówka</t>
  </si>
  <si>
    <t>Zainwestowany kapitał</t>
  </si>
  <si>
    <t>Śednia</t>
  </si>
  <si>
    <t>Odchylenie</t>
  </si>
  <si>
    <t>Zmienność</t>
  </si>
  <si>
    <t>Średnia + odchylenie</t>
  </si>
  <si>
    <t>Średnia - odchylenie</t>
  </si>
  <si>
    <t>Szansa</t>
  </si>
  <si>
    <t>Zagrożenie</t>
  </si>
  <si>
    <t>Siła oddziaływania</t>
  </si>
  <si>
    <t>Średnia</t>
  </si>
  <si>
    <t>Średnia+odchylenie</t>
  </si>
  <si>
    <t>Średnia-odchylenie</t>
  </si>
  <si>
    <t>Kapitał obrotowy netto</t>
  </si>
  <si>
    <t>Średni kapitał obrotowy</t>
  </si>
  <si>
    <t>Środki trwałe</t>
  </si>
  <si>
    <t xml:space="preserve"> </t>
  </si>
  <si>
    <t>Średnie środki trwałe</t>
  </si>
  <si>
    <t>Rozpiętość</t>
  </si>
  <si>
    <t>Zobowiązania</t>
  </si>
  <si>
    <t>Kapitał zainwestowany</t>
  </si>
  <si>
    <t>Rozstęp</t>
  </si>
  <si>
    <t>Kapitały włane</t>
  </si>
  <si>
    <t>Średni kapitał włany</t>
  </si>
  <si>
    <t>Średni kapitał zainwestowany</t>
  </si>
  <si>
    <t>Współczynnik Pearsona ROS/Zysk netto=</t>
  </si>
  <si>
    <t>Tabela 2. Średnie wartości wybranych parametrów finansowych z bilansu spółki LPP w latach 2008-2017 (tys zł)</t>
  </si>
  <si>
    <t>Tabela 1. Wybrane dane finansowe ze sprawozdań finansowych LPP SA w latach 2008-2017 (tys.zł)</t>
  </si>
  <si>
    <t>Źródło: Opracowanie własne na podstawie danych ze sprawozdań finansowych LPP SA</t>
  </si>
  <si>
    <t>Tabela 3. Zmiennośc wybranych parametrów finansowych spółki LPP w latach 2007-2018 (tys. zł)</t>
  </si>
  <si>
    <t xml:space="preserve">Dla poszczególnych parametrów finansowych zdecyduj czy oszacowana zmienność to: </t>
  </si>
  <si>
    <t>- szansa dla spółki</t>
  </si>
  <si>
    <t>Następnie sprobuj sklasyfikować skalę szansy lub zagrożenia wg. Skali:</t>
  </si>
  <si>
    <t>-1 -&gt; małe zagrożenie</t>
  </si>
  <si>
    <t>-2 -&gt; średnie zagrozenie</t>
  </si>
  <si>
    <t>-3 -&gt; duże zagrożenie</t>
  </si>
  <si>
    <t>+1 -&gt; mała szansa</t>
  </si>
  <si>
    <t>+2 -&gt; średnia szansa</t>
  </si>
  <si>
    <t>+3 -&gt; duża szansa</t>
  </si>
  <si>
    <t xml:space="preserve">Dla poszczególnych wskaźników finansowych zdecyduj czy oszacowana zmienność to: </t>
  </si>
  <si>
    <t>- zagrożenie dla spółki</t>
  </si>
  <si>
    <t>Następnie sprobuj sklasyfikować skalę szansy lub zagrożenia wg. skali:</t>
  </si>
  <si>
    <t>Tabela 5. Współczynnik korelacji Pearsona dla Zysku netto, przychodów ze sprzedaży i wskaźnika rentowności sprzedaży spółki LPP SA w latach 2008-20017</t>
  </si>
  <si>
    <t>Tabela 6. Korelacja pomiędzy wybranymi parametrami finansowymi a wskaźnikami finansowymi spółki LPP w latach 2009-2017</t>
  </si>
  <si>
    <t>Współczynnik Pearsona ROS/Przychody ze sprzedaży=</t>
  </si>
  <si>
    <t>Zinterpretuj otrzymane wyniki w poszczególnych wskaźnikach</t>
  </si>
  <si>
    <t xml:space="preserve">Dla wskaźnika rentowności kapitałów zainwestowanych oblicz korelację pomiędzy tym wskaźnikiem finansowym a wybranymi w tabeli parametrami finansowymi </t>
  </si>
  <si>
    <t>Tabela 8. Wpływ procentowej zmiany składników kapitału obrotowego netto na wielkość wskaźników płynności w firmie LPP SA w latach 2009-2017</t>
  </si>
  <si>
    <t>Tabela 7. Bazowe wartości składowych wskaźników płynności oraz wartości wskaźników płynności firmy LPP SA w latach 2009-2017 (zł)</t>
  </si>
  <si>
    <t>Zmieniając za pomocą suwaków wartości poszczególnych składników wskaźników płynności zaobserwuj zmiany wskaźnikó płynności (tabela 8)</t>
  </si>
  <si>
    <t>Tabela 9. Zmiany wskaźników płynności w stosunku do wartości bazowych powstałe w wyniku zmiany poszczególnych składników składowych</t>
  </si>
  <si>
    <t>Wskaźniki  płynności finansowej</t>
  </si>
  <si>
    <t>Składowe rentowności sprzedaży (ROS)</t>
  </si>
  <si>
    <t>Tabela 4. Zmienność wybranych wskaźników finansowych (rentowność i płynność) spółki LPP w latach 2007-2018 (tys. zł)</t>
  </si>
  <si>
    <t>DOL</t>
  </si>
  <si>
    <t>Dźwignia operacyjna</t>
  </si>
  <si>
    <t>Współczynnik zmienności</t>
  </si>
  <si>
    <t>Zależność przychody</t>
  </si>
  <si>
    <t>Zależność koszty zmienne</t>
  </si>
  <si>
    <t>Zależność zysk operacyjny</t>
  </si>
  <si>
    <t>Przychody</t>
  </si>
  <si>
    <t>Koszty zmienne</t>
  </si>
  <si>
    <t>Stopień dźwigni operacyjnej</t>
  </si>
  <si>
    <t>DFL</t>
  </si>
  <si>
    <t>Dźwignia fianansowa</t>
  </si>
  <si>
    <t>Zależność koszty finansowe</t>
  </si>
  <si>
    <t>Koszty finansowe</t>
  </si>
  <si>
    <t>Stopień dźwigni finansowej</t>
  </si>
  <si>
    <t>Pozycja rodzajowa</t>
  </si>
  <si>
    <t>Zależność dźwignia operacyjna</t>
  </si>
  <si>
    <t>Zależność dźwignia finansowa</t>
  </si>
  <si>
    <t>DTL = DOL X DFL</t>
  </si>
  <si>
    <t>Tabela 10. Dźwignia operacyjna dla spółki LPP SA w latach 2009-2017</t>
  </si>
  <si>
    <t>Tabela 11. Dźwignia finansowa dla spółki LPP SA w latach 2009-2017</t>
  </si>
  <si>
    <t>Tabela 12. Dźwignia połączona dla spółki LPP SA w latach 2009-2017</t>
  </si>
  <si>
    <t>Załóż poziom kosztów zmiennych w spółce (komórka A7) i w zależności od niego ustal koszt zmienny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</si>
</sst>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_-* #,##0.00_-;\-* #,##0.00_-;_-* &quot;-&quot;??_-;_-@_-"/>
    <numFmt numFmtId="165" formatCode="_-* #,##0_-;\-* #,##0_-;_-* &quot;-&quot;??_-;_-@_-"/>
    <numFmt numFmtId="166" formatCode="0.000"/>
    <numFmt numFmtId="167" formatCode="#,##0.000"/>
    <numFmt numFmtId="168" formatCode="0.0000"/>
    <numFmt numFmtId="169" formatCode="0.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2" applyFont="1" applyBorder="1"/>
    <xf numFmtId="4" fontId="0" fillId="0" borderId="1" xfId="0" applyNumberFormat="1" applyBorder="1"/>
    <xf numFmtId="0" fontId="0" fillId="0" borderId="0" xfId="0" applyBorder="1"/>
    <xf numFmtId="0" fontId="2" fillId="0" borderId="1" xfId="1" applyNumberFormat="1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3" fontId="0" fillId="0" borderId="0" xfId="0" applyNumberFormat="1" applyBorder="1"/>
    <xf numFmtId="0" fontId="4" fillId="0" borderId="0" xfId="0" applyFont="1" applyBorder="1" applyAlignment="1">
      <alignment horizontal="justify" vertical="center"/>
    </xf>
    <xf numFmtId="0" fontId="2" fillId="0" borderId="0" xfId="1" applyNumberFormat="1" applyFont="1" applyBorder="1" applyAlignment="1">
      <alignment horizontal="center"/>
    </xf>
    <xf numFmtId="9" fontId="0" fillId="0" borderId="0" xfId="0" applyNumberFormat="1" applyBorder="1"/>
    <xf numFmtId="165" fontId="0" fillId="0" borderId="0" xfId="1" applyNumberFormat="1" applyFont="1" applyBorder="1"/>
    <xf numFmtId="43" fontId="0" fillId="0" borderId="0" xfId="0" applyNumberFormat="1" applyBorder="1"/>
    <xf numFmtId="3" fontId="1" fillId="0" borderId="1" xfId="1" applyNumberFormat="1" applyFont="1" applyBorder="1" applyAlignment="1"/>
    <xf numFmtId="10" fontId="1" fillId="0" borderId="1" xfId="2" applyNumberFormat="1" applyFont="1" applyBorder="1" applyAlignment="1"/>
    <xf numFmtId="0" fontId="2" fillId="0" borderId="0" xfId="1" applyNumberFormat="1" applyFont="1" applyFill="1" applyBorder="1" applyAlignment="1">
      <alignment horizontal="center"/>
    </xf>
    <xf numFmtId="3" fontId="0" fillId="0" borderId="0" xfId="0" applyNumberFormat="1" applyFill="1" applyBorder="1"/>
    <xf numFmtId="1" fontId="0" fillId="0" borderId="0" xfId="0" applyNumberFormat="1" applyFill="1" applyBorder="1"/>
    <xf numFmtId="1" fontId="3" fillId="0" borderId="0" xfId="0" applyNumberFormat="1" applyFont="1" applyFill="1" applyBorder="1"/>
    <xf numFmtId="166" fontId="6" fillId="0" borderId="1" xfId="0" applyNumberFormat="1" applyFont="1" applyBorder="1" applyAlignment="1">
      <alignment horizontal="right" vertical="center"/>
    </xf>
    <xf numFmtId="166" fontId="0" fillId="0" borderId="1" xfId="0" applyNumberFormat="1" applyFill="1" applyBorder="1"/>
    <xf numFmtId="166" fontId="6" fillId="0" borderId="1" xfId="1" applyNumberFormat="1" applyFont="1" applyBorder="1" applyAlignment="1">
      <alignment horizontal="right" vertical="center"/>
    </xf>
    <xf numFmtId="3" fontId="0" fillId="0" borderId="1" xfId="0" applyNumberFormat="1" applyFill="1" applyBorder="1"/>
    <xf numFmtId="10" fontId="6" fillId="0" borderId="1" xfId="2" applyNumberFormat="1" applyFont="1" applyBorder="1" applyAlignment="1">
      <alignment horizontal="right" vertical="center"/>
    </xf>
    <xf numFmtId="4" fontId="0" fillId="0" borderId="1" xfId="0" applyNumberFormat="1" applyFill="1" applyBorder="1"/>
    <xf numFmtId="167" fontId="0" fillId="0" borderId="1" xfId="0" applyNumberFormat="1" applyFill="1" applyBorder="1"/>
    <xf numFmtId="0" fontId="2" fillId="0" borderId="0" xfId="0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7" fillId="0" borderId="3" xfId="0" applyNumberFormat="1" applyFont="1" applyFill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1" xfId="0" applyNumberForma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2" xfId="0" applyNumberFormat="1" applyBorder="1"/>
    <xf numFmtId="3" fontId="0" fillId="0" borderId="18" xfId="0" applyNumberFormat="1" applyBorder="1"/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3" fontId="0" fillId="0" borderId="7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23" xfId="0" applyBorder="1"/>
    <xf numFmtId="3" fontId="1" fillId="0" borderId="5" xfId="1" applyNumberFormat="1" applyFont="1" applyBorder="1" applyAlignment="1"/>
    <xf numFmtId="3" fontId="1" fillId="0" borderId="24" xfId="1" applyNumberFormat="1" applyFont="1" applyBorder="1" applyAlignment="1"/>
    <xf numFmtId="3" fontId="1" fillId="0" borderId="2" xfId="1" applyNumberFormat="1" applyFont="1" applyBorder="1" applyAlignment="1"/>
    <xf numFmtId="10" fontId="1" fillId="0" borderId="2" xfId="2" applyNumberFormat="1" applyFont="1" applyBorder="1" applyAlignment="1"/>
    <xf numFmtId="165" fontId="1" fillId="0" borderId="2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8" xfId="1" applyNumberFormat="1" applyFon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3" fontId="1" fillId="0" borderId="23" xfId="1" applyNumberFormat="1" applyFont="1" applyBorder="1" applyAlignment="1"/>
    <xf numFmtId="3" fontId="1" fillId="0" borderId="14" xfId="1" applyNumberFormat="1" applyFont="1" applyBorder="1" applyAlignment="1"/>
    <xf numFmtId="10" fontId="1" fillId="0" borderId="14" xfId="2" applyNumberFormat="1" applyFont="1" applyBorder="1" applyAlignment="1"/>
    <xf numFmtId="0" fontId="2" fillId="0" borderId="25" xfId="0" applyFont="1" applyFill="1" applyBorder="1" applyAlignment="1">
      <alignment horizontal="center"/>
    </xf>
    <xf numFmtId="3" fontId="1" fillId="0" borderId="26" xfId="1" applyNumberFormat="1" applyFont="1" applyBorder="1" applyAlignment="1"/>
    <xf numFmtId="0" fontId="2" fillId="0" borderId="22" xfId="0" applyFont="1" applyFill="1" applyBorder="1" applyAlignment="1">
      <alignment horizontal="center"/>
    </xf>
    <xf numFmtId="0" fontId="0" fillId="0" borderId="16" xfId="0" applyBorder="1"/>
    <xf numFmtId="0" fontId="2" fillId="0" borderId="4" xfId="0" applyFont="1" applyBorder="1" applyAlignment="1">
      <alignment horizontal="center"/>
    </xf>
    <xf numFmtId="3" fontId="0" fillId="0" borderId="29" xfId="0" applyNumberFormat="1" applyBorder="1"/>
    <xf numFmtId="0" fontId="2" fillId="0" borderId="30" xfId="0" applyFont="1" applyFill="1" applyBorder="1" applyAlignment="1">
      <alignment horizontal="center"/>
    </xf>
    <xf numFmtId="0" fontId="2" fillId="0" borderId="31" xfId="1" applyNumberFormat="1" applyFont="1" applyBorder="1" applyAlignment="1">
      <alignment horizontal="center"/>
    </xf>
    <xf numFmtId="3" fontId="0" fillId="0" borderId="32" xfId="0" applyNumberFormat="1" applyBorder="1"/>
    <xf numFmtId="4" fontId="0" fillId="0" borderId="32" xfId="0" applyNumberFormat="1" applyBorder="1"/>
    <xf numFmtId="0" fontId="0" fillId="0" borderId="32" xfId="0" applyBorder="1"/>
    <xf numFmtId="3" fontId="0" fillId="0" borderId="33" xfId="0" applyNumberFormat="1" applyBorder="1"/>
    <xf numFmtId="3" fontId="1" fillId="0" borderId="34" xfId="1" applyNumberFormat="1" applyFont="1" applyBorder="1" applyAlignment="1"/>
    <xf numFmtId="3" fontId="1" fillId="0" borderId="35" xfId="1" applyNumberFormat="1" applyFont="1" applyBorder="1" applyAlignment="1"/>
    <xf numFmtId="165" fontId="0" fillId="0" borderId="0" xfId="0" applyNumberFormat="1" applyBorder="1"/>
    <xf numFmtId="10" fontId="0" fillId="0" borderId="1" xfId="2" applyNumberFormat="1" applyFont="1" applyFill="1" applyBorder="1"/>
    <xf numFmtId="168" fontId="0" fillId="0" borderId="0" xfId="0" applyNumberFormat="1" applyFill="1" applyBorder="1"/>
    <xf numFmtId="10" fontId="0" fillId="0" borderId="0" xfId="0" applyNumberFormat="1" applyBorder="1"/>
    <xf numFmtId="0" fontId="2" fillId="0" borderId="25" xfId="0" applyNumberFormat="1" applyFont="1" applyBorder="1" applyAlignment="1">
      <alignment horizontal="center"/>
    </xf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8" fillId="0" borderId="0" xfId="0" applyNumberFormat="1" applyFont="1" applyFill="1" applyBorder="1"/>
    <xf numFmtId="3" fontId="8" fillId="0" borderId="0" xfId="0" quotePrefix="1" applyNumberFormat="1" applyFont="1" applyFill="1" applyBorder="1"/>
    <xf numFmtId="0" fontId="8" fillId="0" borderId="0" xfId="0" applyFont="1" applyBorder="1"/>
    <xf numFmtId="0" fontId="8" fillId="0" borderId="0" xfId="0" quotePrefix="1" applyFont="1" applyFill="1" applyBorder="1"/>
    <xf numFmtId="0" fontId="8" fillId="0" borderId="0" xfId="0" applyFont="1"/>
    <xf numFmtId="0" fontId="8" fillId="0" borderId="0" xfId="0" quotePrefix="1" applyFont="1" applyBorder="1"/>
    <xf numFmtId="0" fontId="5" fillId="0" borderId="0" xfId="0" applyFont="1" applyFill="1" applyBorder="1" applyAlignment="1">
      <alignment horizontal="left" vertical="center"/>
    </xf>
    <xf numFmtId="4" fontId="0" fillId="2" borderId="1" xfId="0" applyNumberFormat="1" applyFill="1" applyBorder="1"/>
    <xf numFmtId="4" fontId="0" fillId="3" borderId="1" xfId="0" applyNumberForma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0" fillId="4" borderId="0" xfId="0" applyFill="1" applyBorder="1"/>
    <xf numFmtId="3" fontId="7" fillId="0" borderId="0" xfId="0" applyNumberFormat="1" applyFont="1" applyFill="1" applyBorder="1"/>
    <xf numFmtId="0" fontId="2" fillId="0" borderId="12" xfId="1" applyNumberFormat="1" applyFont="1" applyBorder="1" applyAlignment="1">
      <alignment horizontal="center"/>
    </xf>
    <xf numFmtId="10" fontId="6" fillId="0" borderId="14" xfId="2" applyNumberFormat="1" applyFont="1" applyBorder="1" applyAlignment="1">
      <alignment horizontal="right" vertical="center"/>
    </xf>
    <xf numFmtId="166" fontId="0" fillId="0" borderId="14" xfId="0" applyNumberFormat="1" applyFill="1" applyBorder="1"/>
    <xf numFmtId="166" fontId="6" fillId="0" borderId="14" xfId="1" applyNumberFormat="1" applyFont="1" applyBorder="1" applyAlignment="1">
      <alignment horizontal="right" vertical="center"/>
    </xf>
    <xf numFmtId="10" fontId="0" fillId="0" borderId="14" xfId="2" applyNumberFormat="1" applyFont="1" applyFill="1" applyBorder="1"/>
    <xf numFmtId="0" fontId="0" fillId="0" borderId="14" xfId="0" applyBorder="1"/>
    <xf numFmtId="0" fontId="0" fillId="0" borderId="15" xfId="0" applyBorder="1"/>
    <xf numFmtId="166" fontId="6" fillId="0" borderId="5" xfId="0" applyNumberFormat="1" applyFont="1" applyBorder="1" applyAlignment="1">
      <alignment horizontal="right" vertical="center"/>
    </xf>
    <xf numFmtId="10" fontId="6" fillId="0" borderId="5" xfId="2" applyNumberFormat="1" applyFont="1" applyBorder="1" applyAlignment="1">
      <alignment horizontal="right" vertical="center"/>
    </xf>
    <xf numFmtId="10" fontId="6" fillId="0" borderId="23" xfId="2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2" fontId="0" fillId="0" borderId="12" xfId="0" applyNumberFormat="1" applyFill="1" applyBorder="1"/>
    <xf numFmtId="4" fontId="0" fillId="4" borderId="14" xfId="0" applyNumberFormat="1" applyFill="1" applyBorder="1"/>
    <xf numFmtId="2" fontId="0" fillId="4" borderId="15" xfId="0" applyNumberFormat="1" applyFill="1" applyBorder="1"/>
    <xf numFmtId="4" fontId="0" fillId="0" borderId="5" xfId="0" applyNumberFormat="1" applyFill="1" applyBorder="1"/>
    <xf numFmtId="4" fontId="0" fillId="4" borderId="23" xfId="0" applyNumberFormat="1" applyFill="1" applyBorder="1"/>
    <xf numFmtId="0" fontId="6" fillId="0" borderId="16" xfId="0" applyFont="1" applyBorder="1" applyAlignment="1">
      <alignment horizontal="left" vertical="center"/>
    </xf>
    <xf numFmtId="4" fontId="0" fillId="0" borderId="24" xfId="0" applyNumberFormat="1" applyFill="1" applyBorder="1"/>
    <xf numFmtId="4" fontId="0" fillId="0" borderId="2" xfId="0" applyNumberFormat="1" applyFill="1" applyBorder="1"/>
    <xf numFmtId="2" fontId="0" fillId="0" borderId="18" xfId="0" applyNumberFormat="1" applyFill="1" applyBorder="1"/>
    <xf numFmtId="169" fontId="2" fillId="2" borderId="5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 vertical="center"/>
    </xf>
    <xf numFmtId="0" fontId="0" fillId="0" borderId="7" xfId="0" applyFill="1" applyBorder="1"/>
    <xf numFmtId="0" fontId="6" fillId="0" borderId="16" xfId="0" applyFont="1" applyFill="1" applyBorder="1" applyAlignment="1">
      <alignment horizontal="left" vertical="center"/>
    </xf>
    <xf numFmtId="3" fontId="0" fillId="0" borderId="2" xfId="0" applyNumberFormat="1" applyFill="1" applyBorder="1"/>
    <xf numFmtId="4" fontId="0" fillId="0" borderId="5" xfId="0" applyNumberFormat="1" applyBorder="1"/>
    <xf numFmtId="4" fontId="0" fillId="0" borderId="24" xfId="0" applyNumberFormat="1" applyBorder="1"/>
    <xf numFmtId="4" fontId="0" fillId="0" borderId="2" xfId="0" applyNumberFormat="1" applyBorder="1"/>
    <xf numFmtId="0" fontId="2" fillId="0" borderId="4" xfId="0" applyFont="1" applyBorder="1"/>
    <xf numFmtId="0" fontId="2" fillId="0" borderId="21" xfId="0" applyFont="1" applyBorder="1" applyAlignment="1">
      <alignment horizontal="center"/>
    </xf>
    <xf numFmtId="4" fontId="0" fillId="0" borderId="18" xfId="0" applyNumberFormat="1" applyBorder="1"/>
    <xf numFmtId="4" fontId="0" fillId="0" borderId="2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3" fontId="0" fillId="0" borderId="24" xfId="0" applyNumberFormat="1" applyBorder="1"/>
    <xf numFmtId="0" fontId="2" fillId="0" borderId="4" xfId="0" applyFont="1" applyFill="1" applyBorder="1" applyAlignment="1">
      <alignment horizontal="center"/>
    </xf>
    <xf numFmtId="0" fontId="1" fillId="0" borderId="16" xfId="1" applyNumberFormat="1" applyFont="1" applyFill="1" applyBorder="1" applyAlignment="1">
      <alignment horizontal="right"/>
    </xf>
    <xf numFmtId="0" fontId="1" fillId="0" borderId="29" xfId="1" applyNumberFormat="1" applyFont="1" applyFill="1" applyBorder="1" applyAlignment="1">
      <alignment horizontal="right"/>
    </xf>
    <xf numFmtId="169" fontId="2" fillId="3" borderId="24" xfId="1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12" xfId="0" applyNumberFormat="1" applyFill="1" applyBorder="1"/>
    <xf numFmtId="10" fontId="0" fillId="0" borderId="13" xfId="0" applyNumberFormat="1" applyFill="1" applyBorder="1"/>
    <xf numFmtId="10" fontId="0" fillId="0" borderId="14" xfId="0" applyNumberFormat="1" applyFill="1" applyBorder="1"/>
    <xf numFmtId="10" fontId="0" fillId="0" borderId="15" xfId="0" applyNumberFormat="1" applyFill="1" applyBorder="1"/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4" fontId="0" fillId="0" borderId="17" xfId="0" applyNumberFormat="1" applyBorder="1"/>
    <xf numFmtId="4" fontId="0" fillId="0" borderId="11" xfId="0" applyNumberFormat="1" applyBorder="1"/>
    <xf numFmtId="4" fontId="0" fillId="0" borderId="13" xfId="0" applyNumberFormat="1" applyBorder="1"/>
    <xf numFmtId="0" fontId="2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0" fontId="10" fillId="0" borderId="2" xfId="2" applyNumberFormat="1" applyFont="1" applyFill="1" applyBorder="1"/>
    <xf numFmtId="0" fontId="2" fillId="0" borderId="8" xfId="0" applyFont="1" applyBorder="1" applyAlignment="1">
      <alignment horizontal="left"/>
    </xf>
    <xf numFmtId="0" fontId="2" fillId="0" borderId="20" xfId="0" applyFont="1" applyBorder="1" applyAlignment="1">
      <alignment horizontal="center" wrapText="1"/>
    </xf>
    <xf numFmtId="9" fontId="8" fillId="5" borderId="0" xfId="0" applyNumberFormat="1" applyFont="1" applyFill="1"/>
    <xf numFmtId="10" fontId="0" fillId="0" borderId="2" xfId="2" applyNumberFormat="1" applyFont="1" applyBorder="1"/>
    <xf numFmtId="10" fontId="0" fillId="0" borderId="1" xfId="2" applyNumberFormat="1" applyFont="1" applyBorder="1"/>
    <xf numFmtId="10" fontId="0" fillId="0" borderId="14" xfId="2" applyNumberFormat="1" applyFont="1" applyBorder="1"/>
    <xf numFmtId="0" fontId="2" fillId="0" borderId="3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pl-PL" sz="1800" b="0" i="0" baseline="0">
                <a:effectLst/>
              </a:rPr>
              <a:t>Rozstępy poszczególnych parametrów</a:t>
            </a:r>
            <a:endParaRPr lang="pl-PL" sz="1400">
              <a:effectLst/>
            </a:endParaRPr>
          </a:p>
        </cx:rich>
      </cx:tx>
    </cx:title>
    <cx:plotArea>
      <cx:plotAreaRegion>
        <cx:series layoutId="funnel" uniqueId="{854D58F0-DB5F-4285-8345-940B2D5F015B}">
          <cx:dataLabels>
            <cx:visibility seriesName="0" categoryName="0" value="1"/>
          </cx:dataLabels>
          <cx:dataId val="0"/>
        </cx:series>
      </cx:plotAreaRegion>
      <cx:axis id="1">
        <cx:catScaling gapWidth="0.0599999987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</cx:chartData>
  <cx:chart>
    <cx:title pos="t" align="ctr" overlay="0">
      <cx:tx>
        <cx:txData>
          <cx:v>Rozpiętość wskaźników płynności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l-PL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Rozpiętość wskaźników płynności</a:t>
          </a:r>
        </a:p>
      </cx:txPr>
    </cx:title>
    <cx:plotArea>
      <cx:plotAreaRegion>
        <cx:series layoutId="funnel" uniqueId="{76E4E7AE-8F70-4CB0-B38A-AD23B5910AEF}">
          <cx:dataLabels>
            <cx:visibility seriesName="0" categoryName="0" value="1"/>
          </cx:dataLabels>
          <cx:dataId val="0"/>
        </cx:series>
      </cx:plotAreaRegion>
      <cx:axis id="1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title pos="t" align="ctr" overlay="0">
      <cx:tx>
        <cx:txData>
          <cx:v>Rozpiętość wskaźników rentowności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pl-PL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Rozpiętość wskaźników rentowności</a:t>
          </a:r>
        </a:p>
      </cx:txPr>
    </cx:title>
    <cx:plotArea>
      <cx:plotAreaRegion>
        <cx:series layoutId="funnel" uniqueId="{18D8C9B0-6404-41CC-910B-ABD54A8998EE}">
          <cx:dataLabels>
            <cx:visibility seriesName="0" categoryName="0" value="1"/>
          </cx:dataLabels>
          <cx:dataId val="0"/>
        </cx:series>
      </cx:plotAreaRegion>
      <cx:axis id="1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Scroll" dx="26" fmlaLink="$A$21" horiz="1" max="200" page="10" val="100"/>
</file>

<file path=xl/ctrlProps/ctrlProp2.xml><?xml version="1.0" encoding="utf-8"?>
<formControlPr xmlns="http://schemas.microsoft.com/office/spreadsheetml/2009/9/main" objectType="Scroll" dx="26" fmlaLink="$A$25" horiz="1" max="200" min="20" page="10" val="100"/>
</file>

<file path=xl/ctrlProps/ctrlProp3.xml><?xml version="1.0" encoding="utf-8"?>
<formControlPr xmlns="http://schemas.microsoft.com/office/spreadsheetml/2009/9/main" objectType="Scroll" dx="26" fmlaLink="$A$17" horiz="1" max="200" page="10" val="100"/>
</file>

<file path=xl/ctrlProps/ctrlProp4.xml><?xml version="1.0" encoding="utf-8"?>
<formControlPr xmlns="http://schemas.microsoft.com/office/spreadsheetml/2009/9/main" objectType="Scroll" dx="26" fmlaLink="$A$29" horiz="1" max="200" min="20" page="10" val="100"/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350520</xdr:colOff>
      <xdr:row>16</xdr:row>
      <xdr:rowOff>76200</xdr:rowOff>
    </xdr:from>
    <xdr:to>
      <xdr:col>14</xdr:col>
      <xdr:colOff>137160</xdr:colOff>
      <xdr:row>34</xdr:row>
      <xdr:rowOff>22860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7" name="Wykres 6">
              <a:extLst>
                <a:ext uri="{FF2B5EF4-FFF2-40B4-BE49-F238E27FC236}">
                  <a16:creationId xmlns:a16="http://schemas.microsoft.com/office/drawing/2014/main" id="{2A815B16-7AA4-4B5A-83C5-B9E5991F8EA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Prostokąt 1"/>
            <xdr:cNvSpPr>
              <a:spLocks noTextEdit="1"/>
            </xdr:cNvSpPr>
          </xdr:nvSpPr>
          <xdr:spPr>
            <a:xfrm>
              <a:off x="5996940" y="3025140"/>
              <a:ext cx="9273540" cy="32461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12</xdr:row>
      <xdr:rowOff>114300</xdr:rowOff>
    </xdr:from>
    <xdr:to>
      <xdr:col>16</xdr:col>
      <xdr:colOff>53340</xdr:colOff>
      <xdr:row>27</xdr:row>
      <xdr:rowOff>114300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5" name="Wykres 4">
              <a:extLst>
                <a:ext uri="{FF2B5EF4-FFF2-40B4-BE49-F238E27FC236}">
                  <a16:creationId xmlns:a16="http://schemas.microsoft.com/office/drawing/2014/main" id="{25F79A12-7781-4C3F-827E-0BF53F1794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Prostokąt 1"/>
            <xdr:cNvSpPr>
              <a:spLocks noTextEdit="1"/>
            </xdr:cNvSpPr>
          </xdr:nvSpPr>
          <xdr:spPr>
            <a:xfrm>
              <a:off x="5798820" y="2308860"/>
              <a:ext cx="774954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  <xdr:twoCellAnchor>
    <xdr:from>
      <xdr:col>6</xdr:col>
      <xdr:colOff>57150</xdr:colOff>
      <xdr:row>28</xdr:row>
      <xdr:rowOff>22860</xdr:rowOff>
    </xdr:from>
    <xdr:to>
      <xdr:col>16</xdr:col>
      <xdr:colOff>38100</xdr:colOff>
      <xdr:row>43</xdr:row>
      <xdr:rowOff>22860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6" name="Wykres 5">
              <a:extLst>
                <a:ext uri="{FF2B5EF4-FFF2-40B4-BE49-F238E27FC236}">
                  <a16:creationId xmlns:a16="http://schemas.microsoft.com/office/drawing/2014/main" id="{FE4F15D4-ECEE-428C-843E-8EFE51CE1A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3" name="Prostokąt 2"/>
            <xdr:cNvSpPr>
              <a:spLocks noTextEdit="1"/>
            </xdr:cNvSpPr>
          </xdr:nvSpPr>
          <xdr:spPr>
            <a:xfrm>
              <a:off x="5810250" y="5143500"/>
              <a:ext cx="772287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l-PL" sz="1100"/>
                <a:t>Ten wykres jest niedostępny w Twojej wersji programu Excel.
Edytowanie tego kształtu lub zapisanie tego skoroszytu w innym formacie pliku spowoduje trwałe uszkodzenie wykresu.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47625</xdr:rowOff>
        </xdr:from>
        <xdr:to>
          <xdr:col>1</xdr:col>
          <xdr:colOff>762000</xdr:colOff>
          <xdr:row>22</xdr:row>
          <xdr:rowOff>19050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57150</xdr:rowOff>
        </xdr:from>
        <xdr:to>
          <xdr:col>1</xdr:col>
          <xdr:colOff>752475</xdr:colOff>
          <xdr:row>26</xdr:row>
          <xdr:rowOff>28575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1</xdr:col>
          <xdr:colOff>752475</xdr:colOff>
          <xdr:row>18</xdr:row>
          <xdr:rowOff>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85725</xdr:rowOff>
        </xdr:from>
        <xdr:to>
          <xdr:col>1</xdr:col>
          <xdr:colOff>723900</xdr:colOff>
          <xdr:row>30</xdr:row>
          <xdr:rowOff>57150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abSelected="1" workbookViewId="0">
      <selection activeCell="N1" sqref="N1"/>
    </sheetView>
  </sheetViews>
  <sheetFormatPr defaultRowHeight="15" x14ac:dyDescent="0.25"/>
  <cols>
    <col min="2" max="2" width="26.42578125" bestFit="1" customWidth="1"/>
    <col min="3" max="4" width="8.85546875" bestFit="1" customWidth="1"/>
    <col min="8" max="8" width="8.85546875" bestFit="1" customWidth="1"/>
    <col min="10" max="10" width="8.85546875" bestFit="1" customWidth="1"/>
  </cols>
  <sheetData>
    <row r="2" spans="2:14" x14ac:dyDescent="0.25">
      <c r="B2" s="1" t="s">
        <v>56</v>
      </c>
    </row>
    <row r="3" spans="2:14" thickBot="1" x14ac:dyDescent="0.35"/>
    <row r="4" spans="2:14" s="5" customFormat="1" thickBot="1" x14ac:dyDescent="0.35">
      <c r="B4" s="51" t="s">
        <v>8</v>
      </c>
      <c r="C4" s="48">
        <v>2008</v>
      </c>
      <c r="D4" s="49">
        <v>2009</v>
      </c>
      <c r="E4" s="49">
        <v>2010</v>
      </c>
      <c r="F4" s="49">
        <v>2011</v>
      </c>
      <c r="G4" s="49">
        <v>2012</v>
      </c>
      <c r="H4" s="49">
        <v>2013</v>
      </c>
      <c r="I4" s="49">
        <v>2014</v>
      </c>
      <c r="J4" s="49">
        <v>2015</v>
      </c>
      <c r="K4" s="49">
        <v>2016</v>
      </c>
      <c r="L4" s="91">
        <v>2017</v>
      </c>
      <c r="M4" s="4">
        <v>2018</v>
      </c>
      <c r="N4" s="4">
        <v>2019</v>
      </c>
    </row>
    <row r="5" spans="2:14" x14ac:dyDescent="0.25">
      <c r="B5" s="44" t="s">
        <v>0</v>
      </c>
      <c r="C5" s="45">
        <v>1362813</v>
      </c>
      <c r="D5" s="46">
        <v>1610798</v>
      </c>
      <c r="E5" s="46">
        <v>1841665</v>
      </c>
      <c r="F5" s="46">
        <v>2170410</v>
      </c>
      <c r="G5" s="46">
        <v>2765275</v>
      </c>
      <c r="H5" s="46">
        <v>3493356</v>
      </c>
      <c r="I5" s="46">
        <v>4000397</v>
      </c>
      <c r="J5" s="46">
        <v>4335753</v>
      </c>
      <c r="K5" s="46">
        <v>4740877</v>
      </c>
      <c r="L5" s="92">
        <v>5623900</v>
      </c>
      <c r="M5" s="92">
        <v>6368237</v>
      </c>
      <c r="N5" s="92"/>
    </row>
    <row r="6" spans="2:14" x14ac:dyDescent="0.25">
      <c r="B6" s="36" t="s">
        <v>1</v>
      </c>
      <c r="C6" s="38">
        <v>643967</v>
      </c>
      <c r="D6" s="3">
        <v>845839</v>
      </c>
      <c r="E6" s="3">
        <v>946694</v>
      </c>
      <c r="F6" s="3">
        <v>1090152</v>
      </c>
      <c r="G6" s="3">
        <v>1432240</v>
      </c>
      <c r="H6" s="3">
        <v>1783954</v>
      </c>
      <c r="I6" s="3">
        <v>2073351</v>
      </c>
      <c r="J6" s="3">
        <v>2522715</v>
      </c>
      <c r="K6" s="3">
        <v>2971505</v>
      </c>
      <c r="L6" s="93">
        <v>3327595</v>
      </c>
      <c r="M6" s="92">
        <v>3623169</v>
      </c>
      <c r="N6" s="92"/>
    </row>
    <row r="7" spans="2:14" ht="14.45" x14ac:dyDescent="0.3">
      <c r="B7" s="36" t="s">
        <v>2</v>
      </c>
      <c r="C7" s="38">
        <v>190550</v>
      </c>
      <c r="D7" s="3">
        <v>195214</v>
      </c>
      <c r="E7" s="3">
        <v>174285</v>
      </c>
      <c r="F7" s="3">
        <v>279145</v>
      </c>
      <c r="G7" s="3">
        <v>403493</v>
      </c>
      <c r="H7" s="3">
        <v>514507</v>
      </c>
      <c r="I7" s="3">
        <v>477389</v>
      </c>
      <c r="J7" s="3">
        <v>248455</v>
      </c>
      <c r="K7" s="3">
        <v>5662</v>
      </c>
      <c r="L7" s="93">
        <v>231639</v>
      </c>
      <c r="M7" s="92">
        <v>382942</v>
      </c>
      <c r="N7" s="92"/>
    </row>
    <row r="8" spans="2:14" ht="14.45" x14ac:dyDescent="0.3">
      <c r="B8" s="36" t="s">
        <v>95</v>
      </c>
      <c r="C8" s="38">
        <v>49160</v>
      </c>
      <c r="D8" s="3">
        <v>56449</v>
      </c>
      <c r="E8" s="3">
        <v>49992</v>
      </c>
      <c r="F8" s="3">
        <v>43578</v>
      </c>
      <c r="G8" s="3">
        <v>99594</v>
      </c>
      <c r="H8" s="3">
        <v>126759</v>
      </c>
      <c r="I8" s="3">
        <v>391436</v>
      </c>
      <c r="J8" s="3">
        <v>162962</v>
      </c>
      <c r="K8" s="3">
        <v>74361</v>
      </c>
      <c r="L8" s="3">
        <v>21441</v>
      </c>
      <c r="M8" s="92">
        <v>27724</v>
      </c>
      <c r="N8" s="92"/>
    </row>
    <row r="9" spans="2:14" ht="14.45" x14ac:dyDescent="0.3">
      <c r="B9" s="36" t="s">
        <v>3</v>
      </c>
      <c r="C9" s="38">
        <v>164658</v>
      </c>
      <c r="D9" s="3">
        <v>122887</v>
      </c>
      <c r="E9" s="3">
        <v>148249</v>
      </c>
      <c r="F9" s="3">
        <v>234991</v>
      </c>
      <c r="G9" s="3">
        <v>348833</v>
      </c>
      <c r="H9" s="3">
        <v>394575</v>
      </c>
      <c r="I9" s="3">
        <v>283896</v>
      </c>
      <c r="J9" s="3">
        <v>344347</v>
      </c>
      <c r="K9" s="3">
        <v>280071</v>
      </c>
      <c r="L9" s="93">
        <v>493427</v>
      </c>
      <c r="M9" s="92">
        <v>592295</v>
      </c>
      <c r="N9" s="92"/>
    </row>
    <row r="10" spans="2:14" ht="14.45" x14ac:dyDescent="0.3">
      <c r="B10" s="36" t="s">
        <v>5</v>
      </c>
      <c r="C10" s="38">
        <v>321903</v>
      </c>
      <c r="D10" s="3">
        <v>695294</v>
      </c>
      <c r="E10" s="3">
        <v>773479</v>
      </c>
      <c r="F10" s="3">
        <v>475080</v>
      </c>
      <c r="G10" s="3">
        <v>491516</v>
      </c>
      <c r="H10" s="3">
        <v>570997</v>
      </c>
      <c r="I10" s="3">
        <v>712315</v>
      </c>
      <c r="J10" s="3">
        <v>954211</v>
      </c>
      <c r="K10" s="3">
        <v>832586</v>
      </c>
      <c r="L10" s="93">
        <v>1102972</v>
      </c>
      <c r="M10" s="92">
        <v>1164410</v>
      </c>
      <c r="N10" s="92"/>
    </row>
    <row r="11" spans="2:14" ht="14.45" x14ac:dyDescent="0.3">
      <c r="B11" s="36" t="s">
        <v>6</v>
      </c>
      <c r="C11" s="38">
        <v>257160</v>
      </c>
      <c r="D11" s="3">
        <v>245660</v>
      </c>
      <c r="E11" s="3">
        <v>258902</v>
      </c>
      <c r="F11" s="3">
        <v>344260</v>
      </c>
      <c r="G11" s="3">
        <v>475043</v>
      </c>
      <c r="H11" s="3">
        <v>800158</v>
      </c>
      <c r="I11" s="3">
        <v>466834</v>
      </c>
      <c r="J11" s="3">
        <v>417435</v>
      </c>
      <c r="K11" s="3">
        <v>294500</v>
      </c>
      <c r="L11" s="93">
        <v>313210</v>
      </c>
      <c r="M11" s="92">
        <v>123134</v>
      </c>
      <c r="N11" s="92"/>
    </row>
    <row r="12" spans="2:14" x14ac:dyDescent="0.25">
      <c r="B12" s="36" t="s">
        <v>14</v>
      </c>
      <c r="C12" s="40">
        <v>123438</v>
      </c>
      <c r="D12" s="3">
        <v>161992</v>
      </c>
      <c r="E12" s="3">
        <v>96470</v>
      </c>
      <c r="F12" s="3">
        <v>116996</v>
      </c>
      <c r="G12" s="3">
        <v>159393</v>
      </c>
      <c r="H12" s="3">
        <v>149355</v>
      </c>
      <c r="I12" s="3">
        <v>183529</v>
      </c>
      <c r="J12" s="3">
        <v>224447</v>
      </c>
      <c r="K12" s="3">
        <v>365753</v>
      </c>
      <c r="L12" s="93">
        <v>514790</v>
      </c>
      <c r="M12" s="92">
        <v>664853</v>
      </c>
      <c r="N12" s="92"/>
    </row>
    <row r="13" spans="2:14" ht="14.45" x14ac:dyDescent="0.3">
      <c r="B13" s="36" t="s">
        <v>21</v>
      </c>
      <c r="C13" s="40">
        <v>1203456</v>
      </c>
      <c r="D13" s="3">
        <v>1361603</v>
      </c>
      <c r="E13" s="3">
        <v>1426369</v>
      </c>
      <c r="F13" s="3">
        <v>1613868</v>
      </c>
      <c r="G13" s="3">
        <v>1932222</v>
      </c>
      <c r="H13" s="3">
        <v>2491570</v>
      </c>
      <c r="I13" s="3">
        <v>2933726</v>
      </c>
      <c r="J13" s="3">
        <v>3565196</v>
      </c>
      <c r="K13" s="3">
        <v>3677932</v>
      </c>
      <c r="L13" s="93">
        <v>4330828</v>
      </c>
      <c r="M13" s="92">
        <v>5143266</v>
      </c>
      <c r="N13" s="92"/>
    </row>
    <row r="14" spans="2:14" x14ac:dyDescent="0.25">
      <c r="B14" s="36" t="s">
        <v>4</v>
      </c>
      <c r="C14" s="40">
        <v>478799</v>
      </c>
      <c r="D14" s="3">
        <v>692521</v>
      </c>
      <c r="E14" s="3">
        <v>754944</v>
      </c>
      <c r="F14" s="3">
        <v>897697</v>
      </c>
      <c r="G14" s="3">
        <v>1194971</v>
      </c>
      <c r="H14" s="3">
        <v>1444055</v>
      </c>
      <c r="I14" s="3">
        <v>1567653</v>
      </c>
      <c r="J14" s="3">
        <v>1856386</v>
      </c>
      <c r="K14" s="3">
        <v>2092846</v>
      </c>
      <c r="L14" s="93">
        <v>2547402</v>
      </c>
      <c r="M14" s="92">
        <v>3075142</v>
      </c>
      <c r="N14" s="92"/>
    </row>
    <row r="15" spans="2:14" x14ac:dyDescent="0.25">
      <c r="B15" s="36" t="s">
        <v>20</v>
      </c>
      <c r="C15" s="38">
        <v>296842</v>
      </c>
      <c r="D15" s="3">
        <v>347725</v>
      </c>
      <c r="E15" s="3">
        <v>281231</v>
      </c>
      <c r="F15" s="3">
        <v>89356</v>
      </c>
      <c r="G15" s="3">
        <v>130980</v>
      </c>
      <c r="H15" s="3">
        <v>192331</v>
      </c>
      <c r="I15" s="3">
        <v>210714</v>
      </c>
      <c r="J15" s="3">
        <v>344083</v>
      </c>
      <c r="K15" s="3">
        <v>267254</v>
      </c>
      <c r="L15" s="93">
        <v>233140</v>
      </c>
      <c r="M15" s="92">
        <v>237490</v>
      </c>
      <c r="N15" s="92"/>
    </row>
    <row r="16" spans="2:14" x14ac:dyDescent="0.25">
      <c r="B16" s="36" t="s">
        <v>7</v>
      </c>
      <c r="C16" s="38">
        <v>171057</v>
      </c>
      <c r="D16" s="3">
        <v>206610</v>
      </c>
      <c r="E16" s="3">
        <v>293322</v>
      </c>
      <c r="F16" s="3">
        <v>359443</v>
      </c>
      <c r="G16" s="3">
        <v>444550</v>
      </c>
      <c r="H16" s="3">
        <v>520922</v>
      </c>
      <c r="I16" s="3">
        <v>572153</v>
      </c>
      <c r="J16" s="3">
        <v>654814</v>
      </c>
      <c r="K16" s="3">
        <v>792684</v>
      </c>
      <c r="L16" s="93">
        <v>1215568</v>
      </c>
      <c r="M16" s="92">
        <v>1363900</v>
      </c>
      <c r="N16" s="92"/>
    </row>
    <row r="17" spans="2:14" thickBot="1" x14ac:dyDescent="0.35">
      <c r="B17" s="37" t="s">
        <v>22</v>
      </c>
      <c r="C17" s="41">
        <f t="shared" ref="C17" si="0">+C13</f>
        <v>1203456</v>
      </c>
      <c r="D17" s="42">
        <f t="shared" ref="D17:L17" si="1">+D13</f>
        <v>1361603</v>
      </c>
      <c r="E17" s="42">
        <f t="shared" si="1"/>
        <v>1426369</v>
      </c>
      <c r="F17" s="42">
        <f t="shared" si="1"/>
        <v>1613868</v>
      </c>
      <c r="G17" s="42">
        <f t="shared" si="1"/>
        <v>1932222</v>
      </c>
      <c r="H17" s="42">
        <f t="shared" si="1"/>
        <v>2491570</v>
      </c>
      <c r="I17" s="42">
        <f t="shared" si="1"/>
        <v>2933726</v>
      </c>
      <c r="J17" s="42">
        <f t="shared" si="1"/>
        <v>3565196</v>
      </c>
      <c r="K17" s="42">
        <f t="shared" si="1"/>
        <v>3677932</v>
      </c>
      <c r="L17" s="94">
        <f t="shared" si="1"/>
        <v>4330828</v>
      </c>
      <c r="M17" s="92">
        <v>5143266</v>
      </c>
      <c r="N17" s="92"/>
    </row>
    <row r="18" spans="2:14" x14ac:dyDescent="0.25">
      <c r="B18" s="34" t="s">
        <v>57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2:14" ht="14.45" x14ac:dyDescent="0.3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2:14" ht="14.45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4" x14ac:dyDescent="0.25">
      <c r="B21" s="33" t="s">
        <v>55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4" thickBot="1" x14ac:dyDescent="0.35">
      <c r="B22" s="11"/>
      <c r="C22" s="8"/>
      <c r="D22" s="12"/>
      <c r="E22" s="12"/>
      <c r="F22" s="12"/>
      <c r="G22" s="12"/>
      <c r="H22" s="12"/>
      <c r="I22" s="12"/>
      <c r="J22" s="12"/>
      <c r="K22" s="12"/>
      <c r="L22" s="12"/>
    </row>
    <row r="23" spans="2:14" thickBot="1" x14ac:dyDescent="0.35">
      <c r="B23" s="51" t="s">
        <v>8</v>
      </c>
      <c r="C23" s="52">
        <v>2008</v>
      </c>
      <c r="D23" s="49">
        <v>2009</v>
      </c>
      <c r="E23" s="49">
        <v>2010</v>
      </c>
      <c r="F23" s="49">
        <v>2011</v>
      </c>
      <c r="G23" s="49">
        <v>2012</v>
      </c>
      <c r="H23" s="49">
        <v>2013</v>
      </c>
      <c r="I23" s="49">
        <v>2014</v>
      </c>
      <c r="J23" s="49">
        <v>2015</v>
      </c>
      <c r="K23" s="49">
        <v>2016</v>
      </c>
      <c r="L23" s="91">
        <v>2017</v>
      </c>
      <c r="M23" s="4">
        <v>2018</v>
      </c>
      <c r="N23" s="4">
        <v>2019</v>
      </c>
    </row>
    <row r="24" spans="2:14" x14ac:dyDescent="0.25">
      <c r="B24" s="53" t="s">
        <v>42</v>
      </c>
      <c r="C24" s="35">
        <f t="shared" ref="C24:M24" si="2">C10+C11-C16</f>
        <v>408006</v>
      </c>
      <c r="D24" s="3">
        <f t="shared" si="2"/>
        <v>734344</v>
      </c>
      <c r="E24" s="3">
        <f t="shared" si="2"/>
        <v>739059</v>
      </c>
      <c r="F24" s="3">
        <f t="shared" si="2"/>
        <v>459897</v>
      </c>
      <c r="G24" s="3">
        <f t="shared" si="2"/>
        <v>522009</v>
      </c>
      <c r="H24" s="3">
        <f t="shared" si="2"/>
        <v>850233</v>
      </c>
      <c r="I24" s="3">
        <f t="shared" si="2"/>
        <v>606996</v>
      </c>
      <c r="J24" s="3">
        <f t="shared" si="2"/>
        <v>716832</v>
      </c>
      <c r="K24" s="3">
        <f t="shared" si="2"/>
        <v>334402</v>
      </c>
      <c r="L24" s="93">
        <f t="shared" si="2"/>
        <v>200614</v>
      </c>
      <c r="M24" s="93">
        <f t="shared" si="2"/>
        <v>-76356</v>
      </c>
      <c r="N24" s="93"/>
    </row>
    <row r="25" spans="2:14" x14ac:dyDescent="0.25">
      <c r="B25" s="53" t="s">
        <v>43</v>
      </c>
      <c r="C25" s="35"/>
      <c r="D25" s="3">
        <f t="shared" ref="D25:M25" si="3">(D24+C24)/2</f>
        <v>571175</v>
      </c>
      <c r="E25" s="3">
        <f t="shared" si="3"/>
        <v>736701.5</v>
      </c>
      <c r="F25" s="3">
        <f t="shared" si="3"/>
        <v>599478</v>
      </c>
      <c r="G25" s="3">
        <f t="shared" si="3"/>
        <v>490953</v>
      </c>
      <c r="H25" s="3">
        <f t="shared" si="3"/>
        <v>686121</v>
      </c>
      <c r="I25" s="3">
        <f t="shared" si="3"/>
        <v>728614.5</v>
      </c>
      <c r="J25" s="3">
        <f t="shared" si="3"/>
        <v>661914</v>
      </c>
      <c r="K25" s="3">
        <f t="shared" si="3"/>
        <v>525617</v>
      </c>
      <c r="L25" s="93">
        <f t="shared" si="3"/>
        <v>267508</v>
      </c>
      <c r="M25" s="93">
        <f t="shared" si="3"/>
        <v>62129</v>
      </c>
      <c r="N25" s="93"/>
    </row>
    <row r="26" spans="2:14" x14ac:dyDescent="0.25">
      <c r="B26" s="53" t="s">
        <v>44</v>
      </c>
      <c r="C26" s="35">
        <v>318339</v>
      </c>
      <c r="D26" s="3">
        <v>318339</v>
      </c>
      <c r="E26" s="3">
        <v>318339</v>
      </c>
      <c r="F26" s="3">
        <v>333418</v>
      </c>
      <c r="G26" s="3">
        <v>390106</v>
      </c>
      <c r="H26" s="3">
        <v>566461</v>
      </c>
      <c r="I26" s="3">
        <v>680631</v>
      </c>
      <c r="J26" s="3">
        <v>834894</v>
      </c>
      <c r="K26" s="3">
        <v>800010</v>
      </c>
      <c r="L26" s="93">
        <v>823684</v>
      </c>
      <c r="M26" s="93">
        <v>1155114</v>
      </c>
      <c r="N26" s="93"/>
    </row>
    <row r="27" spans="2:14" x14ac:dyDescent="0.25">
      <c r="B27" s="53" t="s">
        <v>46</v>
      </c>
      <c r="C27" s="35"/>
      <c r="D27" s="3">
        <f t="shared" ref="D27:M27" si="4">(D26+C26)/2</f>
        <v>318339</v>
      </c>
      <c r="E27" s="3">
        <f t="shared" si="4"/>
        <v>318339</v>
      </c>
      <c r="F27" s="3">
        <f t="shared" si="4"/>
        <v>325878.5</v>
      </c>
      <c r="G27" s="3">
        <f t="shared" si="4"/>
        <v>361762</v>
      </c>
      <c r="H27" s="3">
        <f t="shared" si="4"/>
        <v>478283.5</v>
      </c>
      <c r="I27" s="3">
        <f t="shared" si="4"/>
        <v>623546</v>
      </c>
      <c r="J27" s="3">
        <f t="shared" si="4"/>
        <v>757762.5</v>
      </c>
      <c r="K27" s="3">
        <f t="shared" si="4"/>
        <v>817452</v>
      </c>
      <c r="L27" s="93">
        <f t="shared" si="4"/>
        <v>811847</v>
      </c>
      <c r="M27" s="93">
        <f t="shared" si="4"/>
        <v>989399</v>
      </c>
      <c r="N27" s="93"/>
    </row>
    <row r="28" spans="2:14" x14ac:dyDescent="0.25">
      <c r="B28" s="54" t="s">
        <v>49</v>
      </c>
      <c r="C28" s="35">
        <f t="shared" ref="C28" si="5">C24+C26</f>
        <v>726345</v>
      </c>
      <c r="D28" s="3">
        <f t="shared" ref="D28:M28" si="6">D24+D26</f>
        <v>1052683</v>
      </c>
      <c r="E28" s="3">
        <f t="shared" si="6"/>
        <v>1057398</v>
      </c>
      <c r="F28" s="3">
        <f t="shared" si="6"/>
        <v>793315</v>
      </c>
      <c r="G28" s="3">
        <f t="shared" si="6"/>
        <v>912115</v>
      </c>
      <c r="H28" s="3">
        <f t="shared" si="6"/>
        <v>1416694</v>
      </c>
      <c r="I28" s="3">
        <f t="shared" si="6"/>
        <v>1287627</v>
      </c>
      <c r="J28" s="3">
        <f t="shared" si="6"/>
        <v>1551726</v>
      </c>
      <c r="K28" s="3">
        <f t="shared" si="6"/>
        <v>1134412</v>
      </c>
      <c r="L28" s="93">
        <f t="shared" si="6"/>
        <v>1024298</v>
      </c>
      <c r="M28" s="93">
        <f t="shared" si="6"/>
        <v>1078758</v>
      </c>
      <c r="N28" s="93"/>
    </row>
    <row r="29" spans="2:14" x14ac:dyDescent="0.25">
      <c r="B29" s="53" t="s">
        <v>53</v>
      </c>
      <c r="C29" s="8"/>
      <c r="D29" s="3">
        <f t="shared" ref="D29:M29" si="7">(D28+C28)/2</f>
        <v>889514</v>
      </c>
      <c r="E29" s="3">
        <f t="shared" si="7"/>
        <v>1055040.5</v>
      </c>
      <c r="F29" s="3">
        <f t="shared" si="7"/>
        <v>925356.5</v>
      </c>
      <c r="G29" s="3">
        <f t="shared" si="7"/>
        <v>852715</v>
      </c>
      <c r="H29" s="3">
        <f t="shared" si="7"/>
        <v>1164404.5</v>
      </c>
      <c r="I29" s="3">
        <f t="shared" si="7"/>
        <v>1352160.5</v>
      </c>
      <c r="J29" s="3">
        <f t="shared" si="7"/>
        <v>1419676.5</v>
      </c>
      <c r="K29" s="3">
        <f t="shared" si="7"/>
        <v>1343069</v>
      </c>
      <c r="L29" s="93">
        <f t="shared" si="7"/>
        <v>1079355</v>
      </c>
      <c r="M29" s="93">
        <f t="shared" si="7"/>
        <v>1051528</v>
      </c>
      <c r="N29" s="93"/>
    </row>
    <row r="30" spans="2:14" x14ac:dyDescent="0.25">
      <c r="B30" s="54" t="s">
        <v>51</v>
      </c>
      <c r="C30" s="35">
        <f t="shared" ref="C30:M30" si="8">C14</f>
        <v>478799</v>
      </c>
      <c r="D30" s="3">
        <f t="shared" si="8"/>
        <v>692521</v>
      </c>
      <c r="E30" s="3">
        <f t="shared" si="8"/>
        <v>754944</v>
      </c>
      <c r="F30" s="3">
        <f t="shared" si="8"/>
        <v>897697</v>
      </c>
      <c r="G30" s="3">
        <f t="shared" si="8"/>
        <v>1194971</v>
      </c>
      <c r="H30" s="3">
        <f t="shared" si="8"/>
        <v>1444055</v>
      </c>
      <c r="I30" s="3">
        <f t="shared" si="8"/>
        <v>1567653</v>
      </c>
      <c r="J30" s="3">
        <f t="shared" si="8"/>
        <v>1856386</v>
      </c>
      <c r="K30" s="3">
        <f t="shared" si="8"/>
        <v>2092846</v>
      </c>
      <c r="L30" s="93">
        <f t="shared" si="8"/>
        <v>2547402</v>
      </c>
      <c r="M30" s="93">
        <f t="shared" si="8"/>
        <v>3075142</v>
      </c>
      <c r="N30" s="93"/>
    </row>
    <row r="31" spans="2:14" ht="15.75" thickBot="1" x14ac:dyDescent="0.3">
      <c r="B31" s="55" t="s">
        <v>52</v>
      </c>
      <c r="C31" s="56"/>
      <c r="D31" s="42">
        <f t="shared" ref="D31:M31" si="9">(D30+C30)/2</f>
        <v>585660</v>
      </c>
      <c r="E31" s="42">
        <f t="shared" si="9"/>
        <v>723732.5</v>
      </c>
      <c r="F31" s="42">
        <f t="shared" si="9"/>
        <v>826320.5</v>
      </c>
      <c r="G31" s="42">
        <f t="shared" si="9"/>
        <v>1046334</v>
      </c>
      <c r="H31" s="42">
        <f t="shared" si="9"/>
        <v>1319513</v>
      </c>
      <c r="I31" s="42">
        <f t="shared" si="9"/>
        <v>1505854</v>
      </c>
      <c r="J31" s="42">
        <f t="shared" si="9"/>
        <v>1712019.5</v>
      </c>
      <c r="K31" s="42">
        <f t="shared" si="9"/>
        <v>1974616</v>
      </c>
      <c r="L31" s="94">
        <f t="shared" si="9"/>
        <v>2320124</v>
      </c>
      <c r="M31" s="94">
        <f t="shared" si="9"/>
        <v>2811272</v>
      </c>
      <c r="N31" s="93"/>
    </row>
    <row r="32" spans="2:14" x14ac:dyDescent="0.25">
      <c r="B32" s="34" t="s">
        <v>57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2:12" ht="14.45" x14ac:dyDescent="0.3"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4.45" x14ac:dyDescent="0.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ht="14.45" x14ac:dyDescent="0.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topLeftCell="A7" workbookViewId="0">
      <selection activeCell="B35" sqref="B35"/>
    </sheetView>
  </sheetViews>
  <sheetFormatPr defaultRowHeight="15" x14ac:dyDescent="0.25"/>
  <cols>
    <col min="2" max="2" width="36.140625" customWidth="1"/>
    <col min="3" max="5" width="12.42578125" bestFit="1" customWidth="1"/>
    <col min="6" max="6" width="18.28515625" customWidth="1"/>
    <col min="7" max="7" width="21.42578125" customWidth="1"/>
    <col min="8" max="8" width="18.28515625" bestFit="1" customWidth="1"/>
    <col min="9" max="9" width="12.42578125" bestFit="1" customWidth="1"/>
    <col min="10" max="12" width="16.7109375" bestFit="1" customWidth="1"/>
  </cols>
  <sheetData>
    <row r="2" spans="2:12" x14ac:dyDescent="0.25">
      <c r="B2" s="1" t="s">
        <v>58</v>
      </c>
    </row>
    <row r="3" spans="2:12" thickBot="1" x14ac:dyDescent="0.35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 ht="15.75" thickBot="1" x14ac:dyDescent="0.3">
      <c r="B4" s="51" t="s">
        <v>8</v>
      </c>
      <c r="C4" s="63" t="s">
        <v>31</v>
      </c>
      <c r="D4" s="64" t="s">
        <v>32</v>
      </c>
      <c r="E4" s="65" t="s">
        <v>33</v>
      </c>
      <c r="F4" s="73" t="s">
        <v>34</v>
      </c>
      <c r="G4" s="77" t="s">
        <v>31</v>
      </c>
      <c r="H4" s="75" t="s">
        <v>35</v>
      </c>
      <c r="I4" s="65" t="s">
        <v>50</v>
      </c>
      <c r="J4" s="65" t="s">
        <v>36</v>
      </c>
      <c r="K4" s="66" t="s">
        <v>37</v>
      </c>
      <c r="L4" s="79" t="s">
        <v>38</v>
      </c>
    </row>
    <row r="5" spans="2:12" x14ac:dyDescent="0.25">
      <c r="B5" s="44" t="s">
        <v>0</v>
      </c>
      <c r="C5" s="58">
        <f>AVERAGE('Dane wyjściowe'!C5:L5)</f>
        <v>3194524.4</v>
      </c>
      <c r="D5" s="59">
        <f>_xlfn.STDEV.S('Dane wyjściowe'!C5:L5)</f>
        <v>1462906.3815361378</v>
      </c>
      <c r="E5" s="60">
        <f>D5/C5</f>
        <v>0.45794183996094623</v>
      </c>
      <c r="F5" s="74">
        <f>+C5-D5</f>
        <v>1731618.0184638621</v>
      </c>
      <c r="G5" s="44">
        <f>+C5</f>
        <v>3194524.4</v>
      </c>
      <c r="H5" s="58">
        <f>+C5+D5</f>
        <v>4657430.7815361377</v>
      </c>
      <c r="I5" s="61">
        <f>H5-F5</f>
        <v>2925812.7630722756</v>
      </c>
      <c r="J5" s="62"/>
      <c r="K5" s="67"/>
      <c r="L5" s="80"/>
    </row>
    <row r="6" spans="2:12" x14ac:dyDescent="0.25">
      <c r="B6" s="36" t="s">
        <v>1</v>
      </c>
      <c r="C6" s="57">
        <f>AVERAGE('Dane wyjściowe'!C6:L6)</f>
        <v>1763801.2</v>
      </c>
      <c r="D6" s="18">
        <f>_xlfn.STDEV.S('Dane wyjściowe'!C6:L6)</f>
        <v>937150.5496111071</v>
      </c>
      <c r="E6" s="19">
        <f t="shared" ref="E6:E16" si="0">D6/C6</f>
        <v>0.53132436331889732</v>
      </c>
      <c r="F6" s="74">
        <f t="shared" ref="F6:F16" si="1">+C6-D6</f>
        <v>826650.65038889286</v>
      </c>
      <c r="G6" s="44">
        <f t="shared" ref="G6:G16" si="2">+C6</f>
        <v>1763801.2</v>
      </c>
      <c r="H6" s="58">
        <f t="shared" ref="H6:H16" si="3">+C6+D6</f>
        <v>2700951.7496111072</v>
      </c>
      <c r="I6" s="61">
        <f t="shared" ref="I6:I16" si="4">H6-F6</f>
        <v>1874301.0992222144</v>
      </c>
      <c r="J6" s="3"/>
      <c r="K6" s="39"/>
      <c r="L6" s="81"/>
    </row>
    <row r="7" spans="2:12" ht="14.45" x14ac:dyDescent="0.3">
      <c r="B7" s="36" t="s">
        <v>2</v>
      </c>
      <c r="C7" s="57">
        <f>AVERAGE('Dane wyjściowe'!C7:L7)</f>
        <v>272033.90000000002</v>
      </c>
      <c r="D7" s="18">
        <f>_xlfn.STDEV.S('Dane wyjściowe'!C7:L7)</f>
        <v>154032.26792638109</v>
      </c>
      <c r="E7" s="19">
        <f t="shared" si="0"/>
        <v>0.56622453277470597</v>
      </c>
      <c r="F7" s="74">
        <f t="shared" si="1"/>
        <v>118001.63207361894</v>
      </c>
      <c r="G7" s="44">
        <f t="shared" si="2"/>
        <v>272033.90000000002</v>
      </c>
      <c r="H7" s="58">
        <f t="shared" si="3"/>
        <v>426066.16792638111</v>
      </c>
      <c r="I7" s="61">
        <f t="shared" si="4"/>
        <v>308064.53585276217</v>
      </c>
      <c r="J7" s="3"/>
      <c r="K7" s="39"/>
      <c r="L7" s="81"/>
    </row>
    <row r="8" spans="2:12" ht="14.45" x14ac:dyDescent="0.3">
      <c r="B8" s="36" t="s">
        <v>3</v>
      </c>
      <c r="C8" s="57">
        <f>AVERAGE('Dane wyjściowe'!C9:L9)</f>
        <v>281593.40000000002</v>
      </c>
      <c r="D8" s="18">
        <f>_xlfn.STDEV.S('Dane wyjściowe'!C9:L9)</f>
        <v>117813.05138433896</v>
      </c>
      <c r="E8" s="19">
        <f t="shared" si="0"/>
        <v>0.41838001666352603</v>
      </c>
      <c r="F8" s="74">
        <f t="shared" si="1"/>
        <v>163780.34861566106</v>
      </c>
      <c r="G8" s="44">
        <f t="shared" si="2"/>
        <v>281593.40000000002</v>
      </c>
      <c r="H8" s="58">
        <f t="shared" si="3"/>
        <v>399406.45138433902</v>
      </c>
      <c r="I8" s="61">
        <f t="shared" si="4"/>
        <v>235626.10276867796</v>
      </c>
      <c r="J8" s="3"/>
      <c r="K8" s="39"/>
      <c r="L8" s="81"/>
    </row>
    <row r="9" spans="2:12" ht="14.45" x14ac:dyDescent="0.3">
      <c r="B9" s="36" t="s">
        <v>5</v>
      </c>
      <c r="C9" s="57">
        <f>AVERAGE('Dane wyjściowe'!C10:L10)</f>
        <v>693035.3</v>
      </c>
      <c r="D9" s="18">
        <f>_xlfn.STDEV.S('Dane wyjściowe'!C10:L10)</f>
        <v>236485.91957523476</v>
      </c>
      <c r="E9" s="19">
        <f t="shared" si="0"/>
        <v>0.34123214153050319</v>
      </c>
      <c r="F9" s="74">
        <f t="shared" si="1"/>
        <v>456549.38042476529</v>
      </c>
      <c r="G9" s="44">
        <f t="shared" si="2"/>
        <v>693035.3</v>
      </c>
      <c r="H9" s="58">
        <f t="shared" si="3"/>
        <v>929521.21957523481</v>
      </c>
      <c r="I9" s="61">
        <f t="shared" si="4"/>
        <v>472971.83915046952</v>
      </c>
      <c r="J9" s="3"/>
      <c r="K9" s="39"/>
      <c r="L9" s="81"/>
    </row>
    <row r="10" spans="2:12" ht="14.45" x14ac:dyDescent="0.3">
      <c r="B10" s="36" t="s">
        <v>6</v>
      </c>
      <c r="C10" s="57">
        <f>AVERAGE('Dane wyjściowe'!C11:L11)</f>
        <v>387316.2</v>
      </c>
      <c r="D10" s="18">
        <f>_xlfn.STDEV.S('Dane wyjściowe'!C11:L11)</f>
        <v>168266.42243563896</v>
      </c>
      <c r="E10" s="19">
        <f t="shared" si="0"/>
        <v>0.43444199451414361</v>
      </c>
      <c r="F10" s="74">
        <f t="shared" si="1"/>
        <v>219049.77756436105</v>
      </c>
      <c r="G10" s="44">
        <f t="shared" si="2"/>
        <v>387316.2</v>
      </c>
      <c r="H10" s="58">
        <f t="shared" si="3"/>
        <v>555582.62243563891</v>
      </c>
      <c r="I10" s="61">
        <f t="shared" si="4"/>
        <v>336532.84487127786</v>
      </c>
      <c r="J10" s="7"/>
      <c r="K10" s="68"/>
      <c r="L10" s="82"/>
    </row>
    <row r="11" spans="2:12" x14ac:dyDescent="0.25">
      <c r="B11" s="36" t="s">
        <v>14</v>
      </c>
      <c r="C11" s="57">
        <f>AVERAGE('Dane wyjściowe'!C12:L12)</f>
        <v>209616.3</v>
      </c>
      <c r="D11" s="18">
        <f>_xlfn.STDEV.S('Dane wyjściowe'!C12:L12)</f>
        <v>131503.83847380441</v>
      </c>
      <c r="E11" s="19">
        <f t="shared" si="0"/>
        <v>0.62735502188429249</v>
      </c>
      <c r="F11" s="74">
        <f t="shared" si="1"/>
        <v>78112.461526195577</v>
      </c>
      <c r="G11" s="44">
        <f t="shared" si="2"/>
        <v>209616.3</v>
      </c>
      <c r="H11" s="58">
        <f t="shared" si="3"/>
        <v>341120.1384738044</v>
      </c>
      <c r="I11" s="61">
        <f t="shared" si="4"/>
        <v>263007.67694760882</v>
      </c>
      <c r="J11" s="2"/>
      <c r="K11" s="69"/>
      <c r="L11" s="83"/>
    </row>
    <row r="12" spans="2:12" ht="14.45" x14ac:dyDescent="0.3">
      <c r="B12" s="36" t="s">
        <v>21</v>
      </c>
      <c r="C12" s="57">
        <f>AVERAGE('Dane wyjściowe'!C13:L13)</f>
        <v>2453677</v>
      </c>
      <c r="D12" s="18">
        <f>_xlfn.STDEV.S('Dane wyjściowe'!C13:L13)</f>
        <v>1119428.8207099191</v>
      </c>
      <c r="E12" s="19">
        <f t="shared" si="0"/>
        <v>0.45622501279097416</v>
      </c>
      <c r="F12" s="74">
        <f t="shared" si="1"/>
        <v>1334248.1792900809</v>
      </c>
      <c r="G12" s="44">
        <f t="shared" si="2"/>
        <v>2453677</v>
      </c>
      <c r="H12" s="58">
        <f t="shared" si="3"/>
        <v>3573105.8207099191</v>
      </c>
      <c r="I12" s="61">
        <f t="shared" si="4"/>
        <v>2238857.6414198382</v>
      </c>
      <c r="J12" s="2"/>
      <c r="K12" s="69"/>
      <c r="L12" s="83"/>
    </row>
    <row r="13" spans="2:12" x14ac:dyDescent="0.25">
      <c r="B13" s="36" t="s">
        <v>4</v>
      </c>
      <c r="C13" s="57">
        <f>AVERAGE('Dane wyjściowe'!C14:L14)</f>
        <v>1352727.4</v>
      </c>
      <c r="D13" s="18">
        <f>_xlfn.STDEV.S('Dane wyjściowe'!C14:L14)</f>
        <v>672651.20152939088</v>
      </c>
      <c r="E13" s="19">
        <f t="shared" si="0"/>
        <v>0.49725554574365161</v>
      </c>
      <c r="F13" s="74">
        <f t="shared" si="1"/>
        <v>680076.19847060903</v>
      </c>
      <c r="G13" s="44">
        <f t="shared" si="2"/>
        <v>1352727.4</v>
      </c>
      <c r="H13" s="58">
        <f t="shared" si="3"/>
        <v>2025378.6015293908</v>
      </c>
      <c r="I13" s="61">
        <f t="shared" si="4"/>
        <v>1345302.4030587818</v>
      </c>
      <c r="J13" s="2"/>
      <c r="K13" s="69"/>
      <c r="L13" s="83"/>
    </row>
    <row r="14" spans="2:12" x14ac:dyDescent="0.25">
      <c r="B14" s="36" t="s">
        <v>20</v>
      </c>
      <c r="C14" s="57">
        <f>AVERAGE('Dane wyjściowe'!C15:L15)</f>
        <v>239365.6</v>
      </c>
      <c r="D14" s="18">
        <f>_xlfn.STDEV.S('Dane wyjściowe'!C15:L15)</f>
        <v>85546.445354036274</v>
      </c>
      <c r="E14" s="19">
        <f t="shared" si="0"/>
        <v>0.35738821849938451</v>
      </c>
      <c r="F14" s="74">
        <f t="shared" si="1"/>
        <v>153819.15464596375</v>
      </c>
      <c r="G14" s="44">
        <f t="shared" si="2"/>
        <v>239365.6</v>
      </c>
      <c r="H14" s="58">
        <f t="shared" si="3"/>
        <v>324912.04535403627</v>
      </c>
      <c r="I14" s="61">
        <f t="shared" si="4"/>
        <v>171092.89070807252</v>
      </c>
      <c r="J14" s="3"/>
      <c r="K14" s="39"/>
      <c r="L14" s="81"/>
    </row>
    <row r="15" spans="2:12" x14ac:dyDescent="0.25">
      <c r="B15" s="36" t="s">
        <v>7</v>
      </c>
      <c r="C15" s="57">
        <f>AVERAGE('Dane wyjściowe'!C16:L16)</f>
        <v>523112.3</v>
      </c>
      <c r="D15" s="18">
        <f>_xlfn.STDEV.S('Dane wyjściowe'!C16:L16)</f>
        <v>313013.81230406149</v>
      </c>
      <c r="E15" s="19">
        <f t="shared" si="0"/>
        <v>0.59836828976122625</v>
      </c>
      <c r="F15" s="74">
        <f t="shared" si="1"/>
        <v>210098.4876959385</v>
      </c>
      <c r="G15" s="44">
        <f t="shared" si="2"/>
        <v>523112.3</v>
      </c>
      <c r="H15" s="58">
        <f t="shared" si="3"/>
        <v>836126.11230406142</v>
      </c>
      <c r="I15" s="61">
        <f t="shared" si="4"/>
        <v>626027.62460812298</v>
      </c>
      <c r="J15" s="2"/>
      <c r="K15" s="69"/>
      <c r="L15" s="83"/>
    </row>
    <row r="16" spans="2:12" thickBot="1" x14ac:dyDescent="0.35">
      <c r="B16" s="37" t="s">
        <v>22</v>
      </c>
      <c r="C16" s="70">
        <f>AVERAGE('Dane wyjściowe'!C17:L17)</f>
        <v>2453677</v>
      </c>
      <c r="D16" s="71">
        <f>_xlfn.STDEV.S('Dane wyjściowe'!C17:L17)</f>
        <v>1119428.8207099191</v>
      </c>
      <c r="E16" s="72">
        <f t="shared" si="0"/>
        <v>0.45622501279097416</v>
      </c>
      <c r="F16" s="85">
        <f t="shared" si="1"/>
        <v>1334248.1792900809</v>
      </c>
      <c r="G16" s="78">
        <f t="shared" si="2"/>
        <v>2453677</v>
      </c>
      <c r="H16" s="86">
        <f t="shared" si="3"/>
        <v>3573105.8207099191</v>
      </c>
      <c r="I16" s="61">
        <f t="shared" si="4"/>
        <v>2238857.6414198382</v>
      </c>
      <c r="J16" s="42"/>
      <c r="K16" s="43"/>
      <c r="L16" s="84"/>
    </row>
    <row r="17" spans="2:12" x14ac:dyDescent="0.25">
      <c r="B17" s="34" t="s">
        <v>57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ht="14.45" x14ac:dyDescent="0.3">
      <c r="B18" s="15"/>
      <c r="C18" s="12"/>
      <c r="D18" s="12"/>
      <c r="E18" s="12"/>
      <c r="F18" s="12"/>
      <c r="G18" s="12"/>
      <c r="H18" s="12"/>
      <c r="I18" s="12"/>
      <c r="J18" s="12"/>
      <c r="K18" s="12"/>
      <c r="L18" s="8"/>
    </row>
    <row r="19" spans="2:12" x14ac:dyDescent="0.25">
      <c r="B19" s="95" t="s">
        <v>59</v>
      </c>
      <c r="C19" s="8"/>
      <c r="D19" s="8"/>
      <c r="E19" s="8"/>
      <c r="F19" s="8"/>
      <c r="G19" s="8"/>
      <c r="H19" s="44" t="s">
        <v>0</v>
      </c>
      <c r="I19" s="87">
        <f>+I5</f>
        <v>2925812.7630722756</v>
      </c>
      <c r="J19" s="8"/>
      <c r="K19" s="8"/>
      <c r="L19" s="8"/>
    </row>
    <row r="20" spans="2:12" x14ac:dyDescent="0.25">
      <c r="B20" s="96" t="s">
        <v>60</v>
      </c>
      <c r="C20" s="14"/>
      <c r="D20" s="14"/>
      <c r="E20" s="14"/>
      <c r="F20" s="14"/>
      <c r="G20" s="14"/>
      <c r="H20" s="36" t="s">
        <v>1</v>
      </c>
      <c r="I20" s="87">
        <f t="shared" ref="I20:I30" si="5">+I6</f>
        <v>1874301.0992222144</v>
      </c>
      <c r="J20" s="14"/>
      <c r="K20" s="14"/>
      <c r="L20" s="8"/>
    </row>
    <row r="21" spans="2:12" x14ac:dyDescent="0.25">
      <c r="B21" s="100" t="s">
        <v>69</v>
      </c>
      <c r="C21" s="12"/>
      <c r="D21" s="12"/>
      <c r="E21" s="12"/>
      <c r="F21" s="12"/>
      <c r="G21" s="12"/>
      <c r="H21" s="36" t="s">
        <v>2</v>
      </c>
      <c r="I21" s="87">
        <f t="shared" si="5"/>
        <v>308064.53585276217</v>
      </c>
      <c r="J21" s="12"/>
      <c r="K21" s="12"/>
      <c r="L21" s="8"/>
    </row>
    <row r="22" spans="2:12" ht="14.45" x14ac:dyDescent="0.3">
      <c r="B22" s="97"/>
      <c r="C22" s="16"/>
      <c r="D22" s="16"/>
      <c r="E22" s="16"/>
      <c r="F22" s="16"/>
      <c r="G22" s="16"/>
      <c r="H22" s="36" t="s">
        <v>3</v>
      </c>
      <c r="I22" s="87">
        <f t="shared" si="5"/>
        <v>235626.10276867796</v>
      </c>
      <c r="J22" s="16"/>
      <c r="K22" s="16"/>
      <c r="L22" s="8"/>
    </row>
    <row r="23" spans="2:12" x14ac:dyDescent="0.25">
      <c r="B23" s="97" t="s">
        <v>70</v>
      </c>
      <c r="C23" s="8"/>
      <c r="D23" s="8"/>
      <c r="E23" s="8"/>
      <c r="F23" s="8"/>
      <c r="G23" s="8"/>
      <c r="H23" s="36" t="s">
        <v>5</v>
      </c>
      <c r="I23" s="87">
        <f t="shared" si="5"/>
        <v>472971.83915046952</v>
      </c>
      <c r="J23" s="8"/>
      <c r="K23" s="8"/>
      <c r="L23" s="8"/>
    </row>
    <row r="24" spans="2:12" x14ac:dyDescent="0.25">
      <c r="B24" s="98" t="s">
        <v>62</v>
      </c>
      <c r="C24" s="17"/>
      <c r="D24" s="17"/>
      <c r="E24" s="17"/>
      <c r="F24" s="17"/>
      <c r="G24" s="17"/>
      <c r="H24" s="36" t="s">
        <v>6</v>
      </c>
      <c r="I24" s="87">
        <f t="shared" si="5"/>
        <v>336532.84487127786</v>
      </c>
      <c r="J24" s="17"/>
      <c r="K24" s="17"/>
      <c r="L24" s="8"/>
    </row>
    <row r="25" spans="2:12" x14ac:dyDescent="0.25">
      <c r="B25" s="98" t="s">
        <v>63</v>
      </c>
      <c r="C25" s="8"/>
      <c r="D25" s="8"/>
      <c r="E25" s="8"/>
      <c r="F25" s="8"/>
      <c r="G25" s="8"/>
      <c r="H25" s="36" t="s">
        <v>14</v>
      </c>
      <c r="I25" s="87">
        <f t="shared" si="5"/>
        <v>263007.67694760882</v>
      </c>
      <c r="J25" s="8"/>
      <c r="K25" s="8"/>
      <c r="L25" s="8"/>
    </row>
    <row r="26" spans="2:12" x14ac:dyDescent="0.25">
      <c r="B26" s="98" t="s">
        <v>64</v>
      </c>
      <c r="C26" s="8"/>
      <c r="D26" s="8"/>
      <c r="E26" s="8"/>
      <c r="F26" s="8"/>
      <c r="G26" s="8"/>
      <c r="H26" s="36" t="s">
        <v>21</v>
      </c>
      <c r="I26" s="87">
        <f t="shared" si="5"/>
        <v>2238857.6414198382</v>
      </c>
      <c r="J26" s="8"/>
      <c r="K26" s="8"/>
      <c r="L26" s="8"/>
    </row>
    <row r="27" spans="2:12" x14ac:dyDescent="0.25">
      <c r="B27" s="99"/>
      <c r="H27" s="36" t="s">
        <v>4</v>
      </c>
      <c r="I27" s="87">
        <f t="shared" si="5"/>
        <v>1345302.4030587818</v>
      </c>
    </row>
    <row r="28" spans="2:12" x14ac:dyDescent="0.25">
      <c r="B28" s="98" t="s">
        <v>65</v>
      </c>
      <c r="H28" s="36" t="s">
        <v>20</v>
      </c>
      <c r="I28" s="87">
        <f t="shared" si="5"/>
        <v>171092.89070807252</v>
      </c>
    </row>
    <row r="29" spans="2:12" x14ac:dyDescent="0.25">
      <c r="B29" s="98" t="s">
        <v>66</v>
      </c>
      <c r="H29" s="36" t="s">
        <v>7</v>
      </c>
      <c r="I29" s="87">
        <f t="shared" si="5"/>
        <v>626027.62460812298</v>
      </c>
    </row>
    <row r="30" spans="2:12" ht="15.75" thickBot="1" x14ac:dyDescent="0.3">
      <c r="B30" s="98" t="s">
        <v>67</v>
      </c>
      <c r="H30" s="37" t="s">
        <v>22</v>
      </c>
      <c r="I30" s="87">
        <f t="shared" si="5"/>
        <v>2238857.6414198382</v>
      </c>
    </row>
    <row r="31" spans="2:12" ht="14.45" x14ac:dyDescent="0.3">
      <c r="I31" s="87"/>
    </row>
    <row r="32" spans="2:12" ht="14.45" x14ac:dyDescent="0.3">
      <c r="I32" s="87"/>
    </row>
    <row r="33" spans="9:9" ht="14.45" x14ac:dyDescent="0.3">
      <c r="I33" s="87"/>
    </row>
    <row r="34" spans="9:9" ht="14.45" x14ac:dyDescent="0.3">
      <c r="I34" s="87"/>
    </row>
  </sheetData>
  <conditionalFormatting sqref="C22:G22 J22:K2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E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:L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:I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6"/>
  <sheetViews>
    <sheetView topLeftCell="A28" workbookViewId="0">
      <selection activeCell="B55" sqref="B55"/>
    </sheetView>
  </sheetViews>
  <sheetFormatPr defaultColWidth="8.85546875" defaultRowHeight="15" x14ac:dyDescent="0.25"/>
  <cols>
    <col min="1" max="1" width="8.85546875" style="11"/>
    <col min="2" max="2" width="37.28515625" style="11" bestFit="1" customWidth="1"/>
    <col min="3" max="12" width="9.42578125" style="11" bestFit="1" customWidth="1"/>
    <col min="13" max="13" width="10.5703125" style="11" bestFit="1" customWidth="1"/>
    <col min="14" max="14" width="10.140625" style="11" bestFit="1" customWidth="1"/>
    <col min="15" max="15" width="17.7109375" style="11" bestFit="1" customWidth="1"/>
    <col min="16" max="16" width="17.7109375" style="11" customWidth="1"/>
    <col min="17" max="17" width="17.42578125" style="11" bestFit="1" customWidth="1"/>
    <col min="18" max="18" width="10" style="11" bestFit="1" customWidth="1"/>
    <col min="19" max="19" width="8.85546875" style="11"/>
    <col min="20" max="20" width="10.140625" style="11" bestFit="1" customWidth="1"/>
    <col min="21" max="21" width="16.7109375" style="11" bestFit="1" customWidth="1"/>
    <col min="22" max="16384" width="8.85546875" style="11"/>
  </cols>
  <sheetData>
    <row r="2" spans="2:23" x14ac:dyDescent="0.25">
      <c r="B2" s="1" t="s">
        <v>82</v>
      </c>
    </row>
    <row r="3" spans="2:23" thickBot="1" x14ac:dyDescent="0.35">
      <c r="B3" s="10"/>
      <c r="M3" s="10"/>
    </row>
    <row r="4" spans="2:23" x14ac:dyDescent="0.25">
      <c r="B4" s="173" t="s">
        <v>9</v>
      </c>
      <c r="C4" s="177">
        <v>2009</v>
      </c>
      <c r="D4" s="175">
        <v>2010</v>
      </c>
      <c r="E4" s="175">
        <v>2011</v>
      </c>
      <c r="F4" s="175">
        <v>2012</v>
      </c>
      <c r="G4" s="175">
        <v>2013</v>
      </c>
      <c r="H4" s="175">
        <v>2014</v>
      </c>
      <c r="I4" s="175">
        <v>2015</v>
      </c>
      <c r="J4" s="175">
        <v>2016</v>
      </c>
      <c r="K4" s="175">
        <v>2017</v>
      </c>
      <c r="L4" s="171" t="s">
        <v>39</v>
      </c>
      <c r="M4" s="171" t="s">
        <v>32</v>
      </c>
      <c r="N4" s="181" t="s">
        <v>33</v>
      </c>
      <c r="O4" s="181" t="s">
        <v>40</v>
      </c>
      <c r="P4" s="171" t="s">
        <v>39</v>
      </c>
      <c r="Q4" s="181" t="s">
        <v>41</v>
      </c>
      <c r="R4" s="181" t="s">
        <v>47</v>
      </c>
      <c r="S4" s="183" t="s">
        <v>36</v>
      </c>
      <c r="T4" s="183" t="s">
        <v>37</v>
      </c>
      <c r="U4" s="179" t="s">
        <v>38</v>
      </c>
      <c r="V4" s="20"/>
      <c r="W4" s="20"/>
    </row>
    <row r="5" spans="2:23" x14ac:dyDescent="0.25">
      <c r="B5" s="174"/>
      <c r="C5" s="178"/>
      <c r="D5" s="176"/>
      <c r="E5" s="176"/>
      <c r="F5" s="176"/>
      <c r="G5" s="176"/>
      <c r="H5" s="176"/>
      <c r="I5" s="176"/>
      <c r="J5" s="176"/>
      <c r="K5" s="176"/>
      <c r="L5" s="172"/>
      <c r="M5" s="172"/>
      <c r="N5" s="182"/>
      <c r="O5" s="182"/>
      <c r="P5" s="172"/>
      <c r="Q5" s="182"/>
      <c r="R5" s="182"/>
      <c r="S5" s="184"/>
      <c r="T5" s="184"/>
      <c r="U5" s="180"/>
      <c r="V5" s="21"/>
      <c r="W5" s="21"/>
    </row>
    <row r="6" spans="2:23" x14ac:dyDescent="0.25">
      <c r="B6" s="118" t="s">
        <v>23</v>
      </c>
      <c r="C6" s="115">
        <f>('Dane wyjściowe'!D10+'Dane wyjściowe'!D11+'Dane wyjściowe'!D12)/'Dane wyjściowe'!D16</f>
        <v>5.3382992110740037</v>
      </c>
      <c r="D6" s="24">
        <f>('Dane wyjściowe'!E10+'Dane wyjściowe'!E11+'Dane wyjściowe'!E12)/'Dane wyjściowe'!E16</f>
        <v>3.848504374032633</v>
      </c>
      <c r="E6" s="24">
        <f>('Dane wyjściowe'!F10+'Dane wyjściowe'!F11+'Dane wyjściowe'!F12)/'Dane wyjściowe'!F16</f>
        <v>2.604963791199161</v>
      </c>
      <c r="F6" s="24">
        <f>('Dane wyjściowe'!G10+'Dane wyjściowe'!G11+'Dane wyjściowe'!G12)/'Dane wyjściowe'!G16</f>
        <v>2.5327904622652122</v>
      </c>
      <c r="G6" s="24">
        <f>('Dane wyjściowe'!H10+'Dane wyjściowe'!H11+'Dane wyjściowe'!H12)/'Dane wyjściowe'!H16</f>
        <v>2.9188822894790389</v>
      </c>
      <c r="H6" s="24">
        <f>('Dane wyjściowe'!I10+'Dane wyjściowe'!I11+'Dane wyjściowe'!I12)/'Dane wyjściowe'!I16</f>
        <v>2.3816671414813868</v>
      </c>
      <c r="I6" s="24">
        <f>('Dane wyjściowe'!J10+'Dane wyjściowe'!J11+'Dane wyjściowe'!J12)/'Dane wyjściowe'!J16</f>
        <v>2.4374753746865521</v>
      </c>
      <c r="J6" s="24">
        <f>('Dane wyjściowe'!K10+'Dane wyjściowe'!K11+'Dane wyjściowe'!K12)/'Dane wyjściowe'!K16</f>
        <v>1.8832712657250557</v>
      </c>
      <c r="K6" s="24">
        <f>('Dane wyjściowe'!L10+'Dane wyjściowe'!L11+'Dane wyjściowe'!L12)/'Dane wyjściowe'!L16</f>
        <v>1.5885347426059258</v>
      </c>
      <c r="L6" s="25">
        <f>AVERAGE(C6:K6)</f>
        <v>2.8371542947276636</v>
      </c>
      <c r="M6" s="26">
        <f>_xlfn.STDEV.S(C6:J6)</f>
        <v>1.1028539201101086</v>
      </c>
      <c r="N6" s="19">
        <f>+M6/L6</f>
        <v>0.38871834434932301</v>
      </c>
      <c r="O6" s="30">
        <f>P6-M6</f>
        <v>1.7343003746175549</v>
      </c>
      <c r="P6" s="30">
        <f>L6</f>
        <v>2.8371542947276636</v>
      </c>
      <c r="Q6" s="30">
        <f>P6+M6</f>
        <v>3.9400082148377722</v>
      </c>
      <c r="R6" s="30">
        <f>Q6-O6</f>
        <v>2.2057078402202173</v>
      </c>
      <c r="S6" s="9"/>
      <c r="T6" s="9"/>
      <c r="U6" s="108"/>
      <c r="V6" s="21"/>
      <c r="W6" s="21"/>
    </row>
    <row r="7" spans="2:23" x14ac:dyDescent="0.25">
      <c r="B7" s="118" t="s">
        <v>12</v>
      </c>
      <c r="C7" s="115">
        <f>('Dane wyjściowe'!D11+'Dane wyjściowe'!D12)/'Dane wyjściowe'!D16</f>
        <v>1.9730506751851313</v>
      </c>
      <c r="D7" s="24">
        <f>('Dane wyjściowe'!E11+'Dane wyjściowe'!E12)/'Dane wyjściowe'!E16</f>
        <v>1.2115422641329323</v>
      </c>
      <c r="E7" s="24">
        <f>('Dane wyjściowe'!F11+'Dane wyjściowe'!F12)/'Dane wyjściowe'!F16</f>
        <v>1.2832521428988741</v>
      </c>
      <c r="F7" s="24">
        <f>('Dane wyjściowe'!G11+'Dane wyjściowe'!G12)/'Dane wyjściowe'!G16</f>
        <v>1.4271420537622315</v>
      </c>
      <c r="G7" s="24">
        <f>('Dane wyjściowe'!H11+'Dane wyjściowe'!H12)/'Dane wyjściowe'!H16</f>
        <v>1.8227546542476609</v>
      </c>
      <c r="H7" s="24">
        <f>('Dane wyjściowe'!I11+'Dane wyjściowe'!I12)/'Dane wyjściowe'!I16</f>
        <v>1.1366942059204443</v>
      </c>
      <c r="I7" s="24">
        <f>('Dane wyjściowe'!J11+'Dane wyjściowe'!J12)/'Dane wyjściowe'!J16</f>
        <v>0.98025088040267927</v>
      </c>
      <c r="J7" s="24">
        <f>('Dane wyjściowe'!K11+'Dane wyjściowe'!K12)/'Dane wyjściowe'!K16</f>
        <v>0.83293342618243837</v>
      </c>
      <c r="K7" s="24">
        <f>('Dane wyjściowe'!L11+'Dane wyjściowe'!L12)/'Dane wyjściowe'!L16</f>
        <v>0.68116304476590372</v>
      </c>
      <c r="L7" s="25">
        <f t="shared" ref="L7:L12" si="0">AVERAGE(C7:K7)</f>
        <v>1.2609759274998107</v>
      </c>
      <c r="M7" s="26">
        <f t="shared" ref="M7:M12" si="1">_xlfn.STDEV.S(C7:J7)</f>
        <v>0.39436148961298562</v>
      </c>
      <c r="N7" s="19">
        <f t="shared" ref="N7:N12" si="2">+M7/L7</f>
        <v>0.31274307543277413</v>
      </c>
      <c r="O7" s="30">
        <f t="shared" ref="O7:O12" si="3">P7-M7</f>
        <v>0.86661443788682502</v>
      </c>
      <c r="P7" s="30">
        <f t="shared" ref="P7:P12" si="4">L7</f>
        <v>1.2609759274998107</v>
      </c>
      <c r="Q7" s="30">
        <f t="shared" ref="Q7:Q12" si="5">P7+M7</f>
        <v>1.6553374171127964</v>
      </c>
      <c r="R7" s="30">
        <f t="shared" ref="R7:R12" si="6">Q7-O7</f>
        <v>0.78872297922597134</v>
      </c>
      <c r="S7" s="3"/>
      <c r="T7" s="3"/>
      <c r="U7" s="39"/>
      <c r="V7" s="21"/>
      <c r="W7" s="21"/>
    </row>
    <row r="8" spans="2:23" x14ac:dyDescent="0.25">
      <c r="B8" s="118" t="s">
        <v>24</v>
      </c>
      <c r="C8" s="115">
        <f>'Dane wyjściowe'!D12/'Dane wyjściowe'!D16</f>
        <v>0.78404723875901461</v>
      </c>
      <c r="D8" s="24">
        <f>'Dane wyjściowe'!E12/'Dane wyjściowe'!E16</f>
        <v>0.32888770702504416</v>
      </c>
      <c r="E8" s="24">
        <f>'Dane wyjściowe'!F12/'Dane wyjściowe'!F16</f>
        <v>0.32549249811513925</v>
      </c>
      <c r="F8" s="24">
        <f>'Dane wyjściowe'!G12/'Dane wyjściowe'!G16</f>
        <v>0.35854909459003487</v>
      </c>
      <c r="G8" s="24">
        <f>'Dane wyjściowe'!H12/'Dane wyjściowe'!H16</f>
        <v>0.28671279001462791</v>
      </c>
      <c r="H8" s="24">
        <f>'Dane wyjściowe'!I12/'Dane wyjściowe'!I16</f>
        <v>0.3207690949798393</v>
      </c>
      <c r="I8" s="24">
        <f>'Dane wyjściowe'!J12/'Dane wyjściowe'!J16</f>
        <v>0.34276451022733173</v>
      </c>
      <c r="J8" s="24">
        <f>'Dane wyjściowe'!K12/'Dane wyjściowe'!K16</f>
        <v>0.46141085224376926</v>
      </c>
      <c r="K8" s="24">
        <f>'Dane wyjściowe'!L12/'Dane wyjściowe'!L16</f>
        <v>0.42349749253024099</v>
      </c>
      <c r="L8" s="25">
        <f t="shared" si="0"/>
        <v>0.40357014205389352</v>
      </c>
      <c r="M8" s="26">
        <f t="shared" si="1"/>
        <v>0.16299350983745403</v>
      </c>
      <c r="N8" s="19">
        <f t="shared" si="2"/>
        <v>0.40387901098909235</v>
      </c>
      <c r="O8" s="30">
        <f t="shared" si="3"/>
        <v>0.24057663221643949</v>
      </c>
      <c r="P8" s="30">
        <f t="shared" si="4"/>
        <v>0.40357014205389352</v>
      </c>
      <c r="Q8" s="30">
        <f t="shared" si="5"/>
        <v>0.5665636518913475</v>
      </c>
      <c r="R8" s="30">
        <f t="shared" si="6"/>
        <v>0.32598701967490801</v>
      </c>
      <c r="S8" s="3"/>
      <c r="T8" s="3"/>
      <c r="U8" s="39"/>
    </row>
    <row r="9" spans="2:23" x14ac:dyDescent="0.25">
      <c r="B9" s="118" t="s">
        <v>25</v>
      </c>
      <c r="C9" s="116">
        <f>'Dane wyjściowe'!D9/(('Dane wyjściowe'!D13+'Dane wyjściowe'!C13)/2)</f>
        <v>9.58161196292171E-2</v>
      </c>
      <c r="D9" s="28">
        <f>'Dane wyjściowe'!E9/(('Dane wyjściowe'!E13+'Dane wyjściowe'!D13)/2)</f>
        <v>0.1063489877229757</v>
      </c>
      <c r="E9" s="28">
        <f>'Dane wyjściowe'!F9/(('Dane wyjściowe'!F13+'Dane wyjściowe'!E13)/2)</f>
        <v>0.15458729039874194</v>
      </c>
      <c r="F9" s="28">
        <f>'Dane wyjściowe'!G9/(('Dane wyjściowe'!G13+'Dane wyjściowe'!F13)/2)</f>
        <v>0.19674232746489795</v>
      </c>
      <c r="G9" s="28">
        <f>'Dane wyjściowe'!H9/(('Dane wyjściowe'!H13+'Dane wyjściowe'!G13)/2)</f>
        <v>0.17838768188016074</v>
      </c>
      <c r="H9" s="28">
        <f>'Dane wyjściowe'!I9/(('Dane wyjściowe'!I13+'Dane wyjściowe'!H13)/2)</f>
        <v>0.10465640953046618</v>
      </c>
      <c r="I9" s="28">
        <f>'Dane wyjściowe'!J9/(('Dane wyjściowe'!J13+'Dane wyjściowe'!I13)/2)</f>
        <v>0.10597049787641705</v>
      </c>
      <c r="J9" s="28">
        <f>'Dane wyjściowe'!K9/(('Dane wyjściowe'!K13+'Dane wyjściowe'!J13)/2)</f>
        <v>7.7334267736259801E-2</v>
      </c>
      <c r="K9" s="28">
        <f>'Dane wyjściowe'!L9/(('Dane wyjściowe'!L13+'Dane wyjściowe'!K13)/2)</f>
        <v>0.12322182210479525</v>
      </c>
      <c r="L9" s="25">
        <f t="shared" si="0"/>
        <v>0.12700726714932575</v>
      </c>
      <c r="M9" s="26">
        <f t="shared" si="1"/>
        <v>4.3212031557365381E-2</v>
      </c>
      <c r="N9" s="19">
        <f t="shared" si="2"/>
        <v>0.34023274830848749</v>
      </c>
      <c r="O9" s="88">
        <f t="shared" si="3"/>
        <v>8.3795235591960365E-2</v>
      </c>
      <c r="P9" s="88">
        <f t="shared" si="4"/>
        <v>0.12700726714932575</v>
      </c>
      <c r="Q9" s="88">
        <f t="shared" si="5"/>
        <v>0.17021929870669114</v>
      </c>
      <c r="R9" s="88">
        <f t="shared" si="6"/>
        <v>8.6424063114730776E-2</v>
      </c>
      <c r="S9" s="3"/>
      <c r="T9" s="3"/>
      <c r="U9" s="39"/>
    </row>
    <row r="10" spans="2:23" x14ac:dyDescent="0.25">
      <c r="B10" s="118" t="s">
        <v>26</v>
      </c>
      <c r="C10" s="116">
        <f>'Dane wyjściowe'!D9/'Dane wyjściowe'!D5</f>
        <v>7.6289516128030949E-2</v>
      </c>
      <c r="D10" s="28">
        <f>'Dane wyjściowe'!E9/'Dane wyjściowe'!E5</f>
        <v>8.0497267418341553E-2</v>
      </c>
      <c r="E10" s="28">
        <f>'Dane wyjściowe'!F9/'Dane wyjściowe'!F5</f>
        <v>0.10827032680461296</v>
      </c>
      <c r="F10" s="28">
        <f>'Dane wyjściowe'!G9/'Dane wyjściowe'!G5</f>
        <v>0.12614767066566615</v>
      </c>
      <c r="G10" s="28">
        <f>'Dane wyjściowe'!H9/'Dane wyjściowe'!H5</f>
        <v>0.11295012589612968</v>
      </c>
      <c r="H10" s="28">
        <f>'Dane wyjściowe'!I9/'Dane wyjściowe'!I5</f>
        <v>7.0966956529564446E-2</v>
      </c>
      <c r="I10" s="28">
        <f>'Dane wyjściowe'!J9/'Dane wyjściowe'!J5</f>
        <v>7.9420345208779192E-2</v>
      </c>
      <c r="J10" s="28">
        <f>'Dane wyjściowe'!K9/'Dane wyjściowe'!K5</f>
        <v>5.9075778595394902E-2</v>
      </c>
      <c r="K10" s="28">
        <f>'Dane wyjściowe'!L9/'Dane wyjściowe'!L5</f>
        <v>8.7737513113675558E-2</v>
      </c>
      <c r="L10" s="25">
        <f t="shared" si="0"/>
        <v>8.9039500040021702E-2</v>
      </c>
      <c r="M10" s="26">
        <f t="shared" si="1"/>
        <v>2.3515492027757823E-2</v>
      </c>
      <c r="N10" s="19">
        <f t="shared" si="2"/>
        <v>0.26410179770987058</v>
      </c>
      <c r="O10" s="88">
        <f t="shared" si="3"/>
        <v>6.5524008012263879E-2</v>
      </c>
      <c r="P10" s="88">
        <f t="shared" si="4"/>
        <v>8.9039500040021702E-2</v>
      </c>
      <c r="Q10" s="88">
        <f t="shared" si="5"/>
        <v>0.11255499206777952</v>
      </c>
      <c r="R10" s="88">
        <f t="shared" si="6"/>
        <v>4.7030984055515646E-2</v>
      </c>
      <c r="S10" s="3"/>
      <c r="T10" s="3"/>
      <c r="U10" s="39"/>
    </row>
    <row r="11" spans="2:23" x14ac:dyDescent="0.25">
      <c r="B11" s="118" t="s">
        <v>27</v>
      </c>
      <c r="C11" s="116">
        <f>'Dane wyjściowe'!D9/(('Dane wyjściowe'!D14+'Dane wyjściowe'!C14)/2)</f>
        <v>0.20982652050677866</v>
      </c>
      <c r="D11" s="28">
        <f>'Dane wyjściowe'!E9/(('Dane wyjściowe'!E14+'Dane wyjściowe'!D14)/2)</f>
        <v>0.20483949525549841</v>
      </c>
      <c r="E11" s="28">
        <f>'Dane wyjściowe'!F9/(('Dane wyjściowe'!F14+'Dane wyjściowe'!E14)/2)</f>
        <v>0.2843823915780862</v>
      </c>
      <c r="F11" s="28">
        <f>'Dane wyjściowe'!G9/(('Dane wyjściowe'!G14+'Dane wyjściowe'!F14)/2)</f>
        <v>0.33338589781083289</v>
      </c>
      <c r="G11" s="28">
        <f>'Dane wyjściowe'!H9/(('Dane wyjściowe'!H14+'Dane wyjściowe'!G14)/2)</f>
        <v>0.29903077877974676</v>
      </c>
      <c r="H11" s="28">
        <f>'Dane wyjściowe'!I9/(('Dane wyjściowe'!I14+'Dane wyjściowe'!H14)/2)</f>
        <v>0.18852823713321476</v>
      </c>
      <c r="I11" s="28">
        <f>'Dane wyjściowe'!J9/(('Dane wyjściowe'!J14+'Dane wyjściowe'!I14)/2)</f>
        <v>0.20113497539017516</v>
      </c>
      <c r="J11" s="28">
        <f>'Dane wyjściowe'!K9/(('Dane wyjściowe'!K14+'Dane wyjściowe'!J14)/2)</f>
        <v>0.14183567843064171</v>
      </c>
      <c r="K11" s="28">
        <f>'Dane wyjściowe'!L9/(('Dane wyjściowe'!L14+'Dane wyjściowe'!K14)/2)</f>
        <v>0.21267268473581585</v>
      </c>
      <c r="L11" s="25">
        <f t="shared" si="0"/>
        <v>0.23062629551342118</v>
      </c>
      <c r="M11" s="26">
        <f t="shared" si="1"/>
        <v>6.5149809136524697E-2</v>
      </c>
      <c r="N11" s="19">
        <f t="shared" si="2"/>
        <v>0.2824908104753967</v>
      </c>
      <c r="O11" s="88">
        <f t="shared" si="3"/>
        <v>0.16547648637689649</v>
      </c>
      <c r="P11" s="88">
        <f t="shared" si="4"/>
        <v>0.23062629551342118</v>
      </c>
      <c r="Q11" s="88">
        <f t="shared" si="5"/>
        <v>0.29577610464994586</v>
      </c>
      <c r="R11" s="88">
        <f t="shared" si="6"/>
        <v>0.13029961827304937</v>
      </c>
      <c r="S11" s="7"/>
      <c r="T11" s="7"/>
      <c r="U11" s="68"/>
      <c r="V11" s="20"/>
      <c r="W11" s="20"/>
    </row>
    <row r="12" spans="2:23" ht="15.75" thickBot="1" x14ac:dyDescent="0.3">
      <c r="B12" s="119" t="s">
        <v>28</v>
      </c>
      <c r="C12" s="117">
        <f>'Dane wyjściowe'!D7/('Dane wyjściowe'!D25+'Dane wyjściowe'!D27)</f>
        <v>0.21946141376077274</v>
      </c>
      <c r="D12" s="109">
        <f>'Dane wyjściowe'!E7/('Dane wyjściowe'!E25+'Dane wyjściowe'!E27)</f>
        <v>0.16519271061158317</v>
      </c>
      <c r="E12" s="109">
        <f>'Dane wyjściowe'!F7/('Dane wyjściowe'!F25+'Dane wyjściowe'!F27)</f>
        <v>0.3016621161682011</v>
      </c>
      <c r="F12" s="109">
        <f>'Dane wyjściowe'!G7/('Dane wyjściowe'!G25+'Dane wyjściowe'!G27)</f>
        <v>0.47318623455668074</v>
      </c>
      <c r="G12" s="109">
        <f>'Dane wyjściowe'!H7/('Dane wyjściowe'!H25+'Dane wyjściowe'!H27)</f>
        <v>0.44186277191474271</v>
      </c>
      <c r="H12" s="109">
        <f>'Dane wyjściowe'!I7/('Dane wyjściowe'!I25+'Dane wyjściowe'!I27)</f>
        <v>0.35305646038321636</v>
      </c>
      <c r="I12" s="109">
        <f>'Dane wyjściowe'!J7/('Dane wyjściowe'!J25+'Dane wyjściowe'!J27)</f>
        <v>0.17500817968037086</v>
      </c>
      <c r="J12" s="109">
        <f>'Dane wyjściowe'!K7/('Dane wyjściowe'!K25+'Dane wyjściowe'!K27)</f>
        <v>4.2157178819554322E-3</v>
      </c>
      <c r="K12" s="109">
        <f>'Dane wyjściowe'!L7/('Dane wyjściowe'!L25+'Dane wyjściowe'!L27)</f>
        <v>0.2146087246550023</v>
      </c>
      <c r="L12" s="110">
        <f t="shared" si="0"/>
        <v>0.26091714773472507</v>
      </c>
      <c r="M12" s="111">
        <f t="shared" si="1"/>
        <v>0.15667935928630528</v>
      </c>
      <c r="N12" s="72">
        <f t="shared" si="2"/>
        <v>0.60049468057807165</v>
      </c>
      <c r="O12" s="112">
        <f t="shared" si="3"/>
        <v>0.1042377884484198</v>
      </c>
      <c r="P12" s="112">
        <f t="shared" si="4"/>
        <v>0.26091714773472507</v>
      </c>
      <c r="Q12" s="112">
        <f t="shared" si="5"/>
        <v>0.41759650702103035</v>
      </c>
      <c r="R12" s="112">
        <f t="shared" si="6"/>
        <v>0.31335871857261055</v>
      </c>
      <c r="S12" s="113"/>
      <c r="T12" s="113"/>
      <c r="U12" s="114"/>
      <c r="V12" s="22"/>
      <c r="W12" s="22"/>
    </row>
    <row r="13" spans="2:23" x14ac:dyDescent="0.25">
      <c r="B13" s="34" t="s">
        <v>57</v>
      </c>
      <c r="C13" s="22"/>
      <c r="D13" s="22"/>
      <c r="E13" s="22"/>
      <c r="F13" s="22"/>
      <c r="G13" s="22"/>
      <c r="H13" s="22"/>
      <c r="I13" s="22"/>
      <c r="J13" s="22"/>
      <c r="K13" s="22"/>
      <c r="N13" s="22"/>
      <c r="O13" s="22"/>
      <c r="P13" s="22"/>
      <c r="Q13" s="22"/>
      <c r="R13" s="22"/>
      <c r="S13" s="8"/>
      <c r="T13" s="8"/>
      <c r="U13" s="8"/>
      <c r="V13" s="22"/>
      <c r="W13" s="22"/>
    </row>
    <row r="14" spans="2:23" ht="14.45" x14ac:dyDescent="0.3">
      <c r="C14" s="22" t="s">
        <v>45</v>
      </c>
      <c r="D14" s="22"/>
      <c r="E14" s="22"/>
      <c r="F14" s="22"/>
      <c r="G14" s="22"/>
      <c r="H14" s="22"/>
      <c r="I14" s="22"/>
      <c r="J14" s="22"/>
      <c r="K14" s="22"/>
      <c r="N14" s="22"/>
      <c r="O14" s="22"/>
      <c r="P14" s="22"/>
      <c r="Q14" s="22"/>
      <c r="R14" s="22"/>
      <c r="S14" s="8"/>
      <c r="T14" s="8"/>
      <c r="U14" s="8"/>
      <c r="V14" s="22"/>
      <c r="W14" s="22"/>
    </row>
    <row r="15" spans="2:23" ht="14.45" x14ac:dyDescent="0.3">
      <c r="N15" s="22"/>
      <c r="O15" s="22" t="str">
        <f>+B6</f>
        <v>Wskaźnik płynności bieżącej</v>
      </c>
      <c r="P15" s="89">
        <f>+R6</f>
        <v>2.2057078402202173</v>
      </c>
      <c r="Q15" s="22"/>
      <c r="R15" s="22"/>
      <c r="S15" s="12"/>
      <c r="T15" s="12"/>
      <c r="U15" s="12"/>
      <c r="V15" s="22"/>
      <c r="W15" s="22"/>
    </row>
    <row r="16" spans="2:23" x14ac:dyDescent="0.25">
      <c r="B16" s="95" t="s">
        <v>68</v>
      </c>
      <c r="N16" s="22"/>
      <c r="O16" s="22" t="str">
        <f t="shared" ref="O16:O17" si="7">+B7</f>
        <v>Wskaźnik płynności szybkiej</v>
      </c>
      <c r="P16" s="89">
        <f t="shared" ref="P16:P17" si="8">+R7</f>
        <v>0.78872297922597134</v>
      </c>
      <c r="Q16" s="22"/>
      <c r="T16" s="8"/>
      <c r="U16" s="8"/>
      <c r="V16" s="22"/>
      <c r="W16" s="22"/>
    </row>
    <row r="17" spans="2:23" x14ac:dyDescent="0.25">
      <c r="B17" s="96" t="s">
        <v>60</v>
      </c>
      <c r="O17" s="22" t="str">
        <f t="shared" si="7"/>
        <v xml:space="preserve">Wskaźnik płynności natychmiastowej </v>
      </c>
      <c r="P17" s="89">
        <f t="shared" si="8"/>
        <v>0.32598701967490801</v>
      </c>
      <c r="T17" s="12"/>
      <c r="U17" s="12"/>
    </row>
    <row r="18" spans="2:23" x14ac:dyDescent="0.25">
      <c r="B18" s="100" t="s">
        <v>69</v>
      </c>
    </row>
    <row r="19" spans="2:23" ht="14.45" x14ac:dyDescent="0.3">
      <c r="B19" s="97"/>
      <c r="M19" s="10"/>
    </row>
    <row r="20" spans="2:23" x14ac:dyDescent="0.25">
      <c r="B20" s="97" t="s">
        <v>61</v>
      </c>
    </row>
    <row r="21" spans="2:23" x14ac:dyDescent="0.25">
      <c r="B21" s="98" t="s">
        <v>62</v>
      </c>
      <c r="M21" s="10"/>
      <c r="N21" s="20"/>
      <c r="O21" s="20"/>
      <c r="P21" s="32"/>
      <c r="Q21" s="20"/>
      <c r="R21" s="20"/>
      <c r="S21" s="20"/>
      <c r="T21" s="20"/>
      <c r="U21" s="20"/>
      <c r="V21" s="20"/>
      <c r="W21" s="20"/>
    </row>
    <row r="22" spans="2:23" x14ac:dyDescent="0.25">
      <c r="B22" s="98" t="s">
        <v>63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2:23" x14ac:dyDescent="0.25">
      <c r="B23" s="98" t="s">
        <v>64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ht="14.45" x14ac:dyDescent="0.3">
      <c r="B24" s="99"/>
      <c r="C24" s="22"/>
      <c r="D24" s="22"/>
      <c r="E24" s="22"/>
      <c r="F24" s="22"/>
      <c r="G24" s="22"/>
      <c r="H24" s="22"/>
      <c r="I24" s="22"/>
      <c r="J24" s="22"/>
      <c r="K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2:23" x14ac:dyDescent="0.25">
      <c r="B25" s="98" t="s">
        <v>65</v>
      </c>
      <c r="C25" s="22"/>
      <c r="D25" s="22"/>
      <c r="E25" s="22"/>
      <c r="F25" s="22"/>
      <c r="G25" s="22"/>
      <c r="H25" s="22"/>
      <c r="I25" s="22"/>
      <c r="J25" s="22"/>
      <c r="K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5">
      <c r="B26" s="98" t="s">
        <v>66</v>
      </c>
      <c r="C26" s="22"/>
      <c r="D26" s="22"/>
      <c r="E26" s="22"/>
      <c r="F26" s="22"/>
      <c r="G26" s="22"/>
      <c r="H26" s="22"/>
      <c r="I26" s="22"/>
      <c r="J26" s="22"/>
      <c r="K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3" x14ac:dyDescent="0.25">
      <c r="B27" s="98" t="s">
        <v>67</v>
      </c>
    </row>
    <row r="29" spans="2:23" ht="14.45" x14ac:dyDescent="0.3">
      <c r="B29" s="10"/>
      <c r="M29" s="10"/>
    </row>
    <row r="30" spans="2:23" ht="14.45" x14ac:dyDescent="0.3">
      <c r="M30" s="22" t="str">
        <f>+B9</f>
        <v>Rentowność aktywów (ROA)</v>
      </c>
      <c r="N30" s="90">
        <f>+R9</f>
        <v>8.6424063114730776E-2</v>
      </c>
    </row>
    <row r="31" spans="2:23" ht="14.45" x14ac:dyDescent="0.3">
      <c r="B31" s="10"/>
      <c r="C31" s="20"/>
      <c r="D31" s="20"/>
      <c r="E31" s="20"/>
      <c r="F31" s="20"/>
      <c r="G31" s="20"/>
      <c r="H31" s="20"/>
      <c r="I31" s="20"/>
      <c r="J31" s="20"/>
      <c r="K31" s="20"/>
      <c r="M31" s="22" t="str">
        <f>+B10</f>
        <v>Rentowność sprzedaży (ROS)</v>
      </c>
      <c r="N31" s="90">
        <f>+R10</f>
        <v>4.7030984055515646E-2</v>
      </c>
      <c r="O31" s="20"/>
      <c r="P31" s="32"/>
      <c r="Q31" s="20"/>
      <c r="R31" s="20"/>
      <c r="S31" s="20"/>
      <c r="T31" s="20"/>
      <c r="U31" s="20"/>
      <c r="V31" s="20"/>
      <c r="W31" s="20"/>
    </row>
    <row r="32" spans="2:23" ht="14.45" x14ac:dyDescent="0.3">
      <c r="C32" s="22"/>
      <c r="D32" s="22"/>
      <c r="E32" s="22"/>
      <c r="F32" s="22"/>
      <c r="G32" s="22"/>
      <c r="H32" s="22"/>
      <c r="I32" s="22"/>
      <c r="J32" s="22"/>
      <c r="K32" s="22"/>
      <c r="M32" s="22" t="str">
        <f>+B11</f>
        <v>Rentowność kapitałów własnych (ROE)</v>
      </c>
      <c r="N32" s="90">
        <f>+R11</f>
        <v>0.13029961827304937</v>
      </c>
      <c r="O32" s="22"/>
      <c r="P32" s="22"/>
      <c r="Q32" s="22"/>
      <c r="R32" s="22"/>
      <c r="S32" s="22"/>
      <c r="T32" s="22"/>
      <c r="U32" s="22"/>
      <c r="V32" s="22"/>
      <c r="W32" s="22"/>
    </row>
    <row r="33" spans="2:23" ht="14.45" x14ac:dyDescent="0.3">
      <c r="C33" s="22"/>
      <c r="D33" s="22"/>
      <c r="E33" s="22"/>
      <c r="F33" s="22"/>
      <c r="G33" s="22"/>
      <c r="H33" s="22"/>
      <c r="I33" s="22"/>
      <c r="J33" s="22"/>
      <c r="K33" s="22"/>
      <c r="M33" s="22" t="str">
        <f>+B12</f>
        <v>Rentowność zainwestowanego kapitału (ROIC)</v>
      </c>
      <c r="N33" s="90">
        <f>+R12</f>
        <v>0.31335871857261055</v>
      </c>
      <c r="O33" s="22"/>
      <c r="P33" s="22"/>
      <c r="Q33" s="22"/>
      <c r="R33" s="22"/>
      <c r="S33" s="22"/>
      <c r="T33" s="22"/>
      <c r="U33" s="22"/>
      <c r="V33" s="22"/>
      <c r="W33" s="22"/>
    </row>
    <row r="34" spans="2:23" ht="14.45" x14ac:dyDescent="0.3">
      <c r="C34" s="22"/>
      <c r="D34" s="22"/>
      <c r="E34" s="22"/>
      <c r="F34" s="22"/>
      <c r="G34" s="22"/>
      <c r="H34" s="22"/>
      <c r="I34" s="22"/>
      <c r="J34" s="22"/>
      <c r="K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2:23" ht="14.45" x14ac:dyDescent="0.3">
      <c r="C35" s="22"/>
      <c r="D35" s="22"/>
      <c r="E35" s="22"/>
      <c r="F35" s="22"/>
      <c r="G35" s="22"/>
      <c r="H35" s="22"/>
      <c r="I35" s="22"/>
      <c r="J35" s="22"/>
      <c r="K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2:23" ht="14.45" x14ac:dyDescent="0.3">
      <c r="C36" s="22"/>
      <c r="D36" s="22"/>
      <c r="E36" s="22"/>
      <c r="F36" s="22"/>
      <c r="G36" s="22"/>
      <c r="H36" s="22"/>
      <c r="I36" s="22"/>
      <c r="J36" s="22"/>
      <c r="K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9" spans="2:23" ht="14.45" x14ac:dyDescent="0.3">
      <c r="B39" s="10"/>
      <c r="M39" s="10"/>
    </row>
    <row r="41" spans="2:23" ht="14.45" x14ac:dyDescent="0.3">
      <c r="B41" s="10"/>
      <c r="C41" s="20"/>
      <c r="D41" s="20"/>
      <c r="E41" s="20"/>
      <c r="F41" s="20"/>
      <c r="G41" s="20"/>
      <c r="H41" s="20"/>
      <c r="I41" s="20"/>
      <c r="J41" s="20"/>
      <c r="K41" s="20"/>
      <c r="M41" s="10"/>
      <c r="N41" s="20"/>
      <c r="O41" s="20"/>
      <c r="P41" s="32"/>
      <c r="Q41" s="20"/>
      <c r="R41" s="20"/>
      <c r="S41" s="20"/>
      <c r="T41" s="20"/>
      <c r="U41" s="20"/>
      <c r="V41" s="20"/>
      <c r="W41" s="20"/>
    </row>
    <row r="42" spans="2:23" ht="14.45" x14ac:dyDescent="0.3">
      <c r="C42" s="22"/>
      <c r="D42" s="22"/>
      <c r="E42" s="22"/>
      <c r="F42" s="22"/>
      <c r="G42" s="22"/>
      <c r="H42" s="22"/>
      <c r="I42" s="22"/>
      <c r="J42" s="22"/>
      <c r="K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2:23" ht="14.45" x14ac:dyDescent="0.3">
      <c r="C43" s="22"/>
      <c r="D43" s="22"/>
      <c r="E43" s="22"/>
      <c r="F43" s="22"/>
      <c r="G43" s="22"/>
      <c r="H43" s="22"/>
      <c r="I43" s="22"/>
      <c r="J43" s="22"/>
      <c r="K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ht="14.45" x14ac:dyDescent="0.3">
      <c r="C44" s="22"/>
      <c r="D44" s="22"/>
      <c r="E44" s="22"/>
      <c r="F44" s="22"/>
      <c r="G44" s="22"/>
      <c r="H44" s="22"/>
      <c r="I44" s="22"/>
      <c r="J44" s="22"/>
      <c r="K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2:23" ht="14.45" x14ac:dyDescent="0.3">
      <c r="C45" s="22"/>
      <c r="D45" s="22"/>
      <c r="E45" s="22"/>
      <c r="F45" s="22"/>
      <c r="G45" s="22"/>
      <c r="H45" s="22"/>
      <c r="I45" s="22"/>
      <c r="J45" s="22"/>
      <c r="K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ht="14.45" x14ac:dyDescent="0.3">
      <c r="C46" s="23"/>
      <c r="D46" s="23"/>
      <c r="E46" s="23"/>
      <c r="F46" s="23"/>
      <c r="G46" s="23"/>
      <c r="H46" s="23"/>
      <c r="I46" s="23"/>
      <c r="J46" s="23"/>
      <c r="K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20">
    <mergeCell ref="U4:U5"/>
    <mergeCell ref="N4:N5"/>
    <mergeCell ref="O4:O5"/>
    <mergeCell ref="Q4:Q5"/>
    <mergeCell ref="R4:R5"/>
    <mergeCell ref="S4:S5"/>
    <mergeCell ref="T4:T5"/>
    <mergeCell ref="P4:P5"/>
    <mergeCell ref="M4:M5"/>
    <mergeCell ref="B4:B5"/>
    <mergeCell ref="K4:K5"/>
    <mergeCell ref="J4:J5"/>
    <mergeCell ref="I4:I5"/>
    <mergeCell ref="H4:H5"/>
    <mergeCell ref="G4:G5"/>
    <mergeCell ref="F4:F5"/>
    <mergeCell ref="E4:E5"/>
    <mergeCell ref="D4:D5"/>
    <mergeCell ref="C4:C5"/>
    <mergeCell ref="L4:L5"/>
  </mergeCells>
  <conditionalFormatting sqref="N6:N1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U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39"/>
  <sheetViews>
    <sheetView topLeftCell="A17" workbookViewId="0">
      <selection activeCell="D39" sqref="D39"/>
    </sheetView>
  </sheetViews>
  <sheetFormatPr defaultColWidth="8.85546875" defaultRowHeight="15" x14ac:dyDescent="0.25"/>
  <cols>
    <col min="1" max="1" width="8.85546875" style="11"/>
    <col min="2" max="2" width="47.28515625" style="11" bestFit="1" customWidth="1"/>
    <col min="3" max="12" width="12.5703125" style="11" customWidth="1"/>
    <col min="13" max="16384" width="8.85546875" style="11"/>
  </cols>
  <sheetData>
    <row r="4" spans="2:12" x14ac:dyDescent="0.25">
      <c r="B4" s="101" t="s">
        <v>71</v>
      </c>
      <c r="C4" s="21"/>
      <c r="D4" s="21"/>
      <c r="E4" s="21"/>
      <c r="F4" s="21"/>
      <c r="G4" s="21"/>
      <c r="H4" s="21"/>
      <c r="I4" s="21"/>
      <c r="J4" s="21"/>
      <c r="K4" s="21"/>
    </row>
    <row r="5" spans="2:12" thickBot="1" x14ac:dyDescent="0.35">
      <c r="D5" s="21"/>
      <c r="E5" s="21"/>
      <c r="F5" s="21"/>
      <c r="G5" s="21"/>
      <c r="H5" s="21"/>
      <c r="I5" s="21"/>
      <c r="J5" s="21"/>
      <c r="K5" s="21"/>
    </row>
    <row r="6" spans="2:12" ht="15.75" thickBot="1" x14ac:dyDescent="0.3">
      <c r="B6" s="144" t="s">
        <v>81</v>
      </c>
      <c r="C6" s="48">
        <v>2008</v>
      </c>
      <c r="D6" s="49">
        <v>2009</v>
      </c>
      <c r="E6" s="49">
        <v>2010</v>
      </c>
      <c r="F6" s="49">
        <v>2011</v>
      </c>
      <c r="G6" s="49">
        <v>2012</v>
      </c>
      <c r="H6" s="49">
        <v>2013</v>
      </c>
      <c r="I6" s="49">
        <v>2014</v>
      </c>
      <c r="J6" s="49">
        <v>2015</v>
      </c>
      <c r="K6" s="49">
        <v>2016</v>
      </c>
      <c r="L6" s="50">
        <v>2017</v>
      </c>
    </row>
    <row r="7" spans="2:12" ht="14.45" x14ac:dyDescent="0.3">
      <c r="B7" s="132" t="s">
        <v>3</v>
      </c>
      <c r="C7" s="148">
        <f>'Dane wyjściowe'!C9</f>
        <v>164658</v>
      </c>
      <c r="D7" s="133">
        <f>'Dane wyjściowe'!D9</f>
        <v>122887</v>
      </c>
      <c r="E7" s="133">
        <f>'Dane wyjściowe'!E9</f>
        <v>148249</v>
      </c>
      <c r="F7" s="133">
        <f>'Dane wyjściowe'!F9</f>
        <v>234991</v>
      </c>
      <c r="G7" s="133">
        <f>'Dane wyjściowe'!G9</f>
        <v>348833</v>
      </c>
      <c r="H7" s="133">
        <f>'Dane wyjściowe'!H9</f>
        <v>394575</v>
      </c>
      <c r="I7" s="133">
        <f>'Dane wyjściowe'!I9</f>
        <v>283896</v>
      </c>
      <c r="J7" s="133">
        <f>'Dane wyjściowe'!J9</f>
        <v>344347</v>
      </c>
      <c r="K7" s="133">
        <f>'Dane wyjściowe'!K9</f>
        <v>280071</v>
      </c>
      <c r="L7" s="149">
        <f>'Dane wyjściowe'!L9</f>
        <v>493427</v>
      </c>
    </row>
    <row r="8" spans="2:12" x14ac:dyDescent="0.25">
      <c r="B8" s="130" t="s">
        <v>0</v>
      </c>
      <c r="C8" s="40">
        <f>'Dane wyjściowe'!C5</f>
        <v>1362813</v>
      </c>
      <c r="D8" s="27">
        <f>'Dane wyjściowe'!D5</f>
        <v>1610798</v>
      </c>
      <c r="E8" s="27">
        <f>'Dane wyjściowe'!E5</f>
        <v>1841665</v>
      </c>
      <c r="F8" s="27">
        <f>'Dane wyjściowe'!F5</f>
        <v>2170410</v>
      </c>
      <c r="G8" s="27">
        <f>'Dane wyjściowe'!G5</f>
        <v>2765275</v>
      </c>
      <c r="H8" s="27">
        <f>'Dane wyjściowe'!H5</f>
        <v>3493356</v>
      </c>
      <c r="I8" s="27">
        <f>'Dane wyjściowe'!I5</f>
        <v>4000397</v>
      </c>
      <c r="J8" s="27">
        <f>'Dane wyjściowe'!J5</f>
        <v>4335753</v>
      </c>
      <c r="K8" s="27">
        <f>'Dane wyjściowe'!K5</f>
        <v>4740877</v>
      </c>
      <c r="L8" s="150">
        <f>'Dane wyjściowe'!L5</f>
        <v>5623900</v>
      </c>
    </row>
    <row r="9" spans="2:12" ht="15.75" thickBot="1" x14ac:dyDescent="0.3">
      <c r="B9" s="131" t="s">
        <v>26</v>
      </c>
      <c r="C9" s="151">
        <f>'Wskaźniki finansowe'!L10</f>
        <v>8.9039500040021702E-2</v>
      </c>
      <c r="D9" s="152">
        <f>'Wskaźniki finansowe'!C10</f>
        <v>7.6289516128030949E-2</v>
      </c>
      <c r="E9" s="152">
        <f>'Wskaźniki finansowe'!D10</f>
        <v>8.0497267418341553E-2</v>
      </c>
      <c r="F9" s="152">
        <f>'Wskaźniki finansowe'!E10</f>
        <v>0.10827032680461296</v>
      </c>
      <c r="G9" s="152">
        <f>'Wskaźniki finansowe'!F10</f>
        <v>0.12614767066566615</v>
      </c>
      <c r="H9" s="152">
        <f>'Wskaźniki finansowe'!G10</f>
        <v>0.11295012589612968</v>
      </c>
      <c r="I9" s="152">
        <f>'Wskaźniki finansowe'!H10</f>
        <v>7.0966956529564446E-2</v>
      </c>
      <c r="J9" s="152">
        <f>'Wskaźniki finansowe'!I10</f>
        <v>7.9420345208779192E-2</v>
      </c>
      <c r="K9" s="152">
        <f>'Wskaźniki finansowe'!J10</f>
        <v>5.9075778595394902E-2</v>
      </c>
      <c r="L9" s="153">
        <f>'Wskaźniki finansowe'!K10</f>
        <v>8.7737513113675558E-2</v>
      </c>
    </row>
    <row r="10" spans="2:12" x14ac:dyDescent="0.25">
      <c r="B10" s="145" t="s">
        <v>54</v>
      </c>
      <c r="C10" s="147">
        <f>PEARSON(C7:L7,C9:L9)</f>
        <v>0.29950034584082919</v>
      </c>
      <c r="D10" s="22"/>
      <c r="E10" s="22"/>
      <c r="F10" s="22"/>
      <c r="G10" s="22"/>
      <c r="H10" s="22"/>
      <c r="I10" s="22"/>
      <c r="J10" s="22"/>
    </row>
    <row r="11" spans="2:12" ht="15.75" thickBot="1" x14ac:dyDescent="0.3">
      <c r="B11" s="146" t="s">
        <v>73</v>
      </c>
      <c r="C11" s="129">
        <f>PEARSON(C8:L8,C9:L9)</f>
        <v>-0.26277571365198515</v>
      </c>
      <c r="D11" s="22"/>
      <c r="E11" s="22"/>
      <c r="F11" s="22"/>
      <c r="G11" s="22"/>
      <c r="H11" s="22"/>
      <c r="I11" s="22"/>
      <c r="J11" s="22"/>
    </row>
    <row r="12" spans="2:12" x14ac:dyDescent="0.25">
      <c r="B12" s="34" t="s">
        <v>57</v>
      </c>
    </row>
    <row r="14" spans="2:12" ht="14.45" x14ac:dyDescent="0.3">
      <c r="C14" s="22"/>
      <c r="D14" s="22"/>
      <c r="E14" s="22"/>
      <c r="F14" s="22"/>
      <c r="G14" s="22"/>
      <c r="H14" s="22"/>
      <c r="I14" s="22"/>
      <c r="J14" s="22"/>
    </row>
    <row r="15" spans="2:12" ht="14.45" x14ac:dyDescent="0.3">
      <c r="C15" s="22"/>
      <c r="D15" s="22"/>
      <c r="E15" s="22"/>
      <c r="F15" s="22"/>
      <c r="G15" s="22"/>
      <c r="H15" s="22"/>
      <c r="I15" s="22"/>
      <c r="J15" s="22"/>
    </row>
    <row r="16" spans="2:12" x14ac:dyDescent="0.25">
      <c r="B16" s="10" t="s">
        <v>72</v>
      </c>
    </row>
    <row r="17" spans="2:11" thickBot="1" x14ac:dyDescent="0.35"/>
    <row r="18" spans="2:11" x14ac:dyDescent="0.25">
      <c r="B18" s="173" t="s">
        <v>9</v>
      </c>
      <c r="C18" s="190" t="s">
        <v>5</v>
      </c>
      <c r="D18" s="175" t="s">
        <v>10</v>
      </c>
      <c r="E18" s="175" t="s">
        <v>29</v>
      </c>
      <c r="F18" s="193" t="s">
        <v>7</v>
      </c>
      <c r="G18" s="175" t="s">
        <v>21</v>
      </c>
      <c r="H18" s="193" t="s">
        <v>0</v>
      </c>
      <c r="I18" s="175" t="s">
        <v>3</v>
      </c>
      <c r="J18" s="193" t="s">
        <v>30</v>
      </c>
      <c r="K18" s="185" t="s">
        <v>4</v>
      </c>
    </row>
    <row r="19" spans="2:11" ht="15.75" thickBot="1" x14ac:dyDescent="0.3">
      <c r="B19" s="189"/>
      <c r="C19" s="191" t="s">
        <v>5</v>
      </c>
      <c r="D19" s="192" t="s">
        <v>10</v>
      </c>
      <c r="E19" s="192" t="s">
        <v>29</v>
      </c>
      <c r="F19" s="194" t="s">
        <v>48</v>
      </c>
      <c r="G19" s="192" t="s">
        <v>21</v>
      </c>
      <c r="H19" s="194" t="s">
        <v>0</v>
      </c>
      <c r="I19" s="192" t="s">
        <v>3</v>
      </c>
      <c r="J19" s="194" t="s">
        <v>30</v>
      </c>
      <c r="K19" s="186" t="s">
        <v>30</v>
      </c>
    </row>
    <row r="20" spans="2:11" x14ac:dyDescent="0.25">
      <c r="B20" s="125" t="s">
        <v>23</v>
      </c>
      <c r="C20" s="126">
        <f>PEARSON('Wskaźniki finansowe'!C6:K6,'Dane wyjściowe'!D10:L10)</f>
        <v>-0.3001121791781452</v>
      </c>
      <c r="D20" s="127">
        <f>PEARSON('Wskaźniki finansowe'!C6:K6,'Dane wyjściowe'!D11:L11)</f>
        <v>-0.21477116321802511</v>
      </c>
      <c r="E20" s="127">
        <f>PEARSON('Wskaźniki finansowe'!C6:K6,'Dane wyjściowe'!D12:L12)</f>
        <v>-0.5899143174956355</v>
      </c>
      <c r="F20" s="127">
        <f>PEARSON('Wskaźniki finansowe'!C6:K6,'Dane wyjściowe'!D16:L16)</f>
        <v>-0.7810918148319741</v>
      </c>
      <c r="G20" s="127">
        <f>PEARSON('Wskaźniki finansowe'!C6:K6,'Dane wyjściowe'!D13:L13)</f>
        <v>-0.76663562636029137</v>
      </c>
      <c r="H20" s="127">
        <f>PEARSON('Wskaźniki finansowe'!C6:K6,'Dane wyjściowe'!D5:L5)</f>
        <v>-0.81305765453381817</v>
      </c>
      <c r="I20" s="127">
        <f>PEARSON('Wskaźniki finansowe'!C6:K6,'Dane wyjściowe'!D9:L9)</f>
        <v>-0.77384686567818006</v>
      </c>
      <c r="J20" s="127">
        <f>PEARSON('Wskaźniki finansowe'!C6:K6,'Dane wyjściowe'!D29:L29)</f>
        <v>-0.46545542338805512</v>
      </c>
      <c r="K20" s="128">
        <f>PEARSON('Wskaźniki finansowe'!C6:K6,'Dane wyjściowe'!D31:L31)</f>
        <v>-0.80837769385752012</v>
      </c>
    </row>
    <row r="21" spans="2:11" x14ac:dyDescent="0.25">
      <c r="B21" s="118" t="s">
        <v>12</v>
      </c>
      <c r="C21" s="123">
        <f>PEARSON('Wskaźniki finansowe'!C7:K7,'Dane wyjściowe'!D10:L10)</f>
        <v>-0.67298360631681231</v>
      </c>
      <c r="D21" s="29">
        <f>PEARSON('Wskaźniki finansowe'!C7:K7,'Dane wyjściowe'!D11:L11)</f>
        <v>0.36606595338612608</v>
      </c>
      <c r="E21" s="29">
        <f>PEARSON('Wskaźniki finansowe'!C7:K7,'Dane wyjściowe'!D12:L12)</f>
        <v>-0.68236657147250734</v>
      </c>
      <c r="F21" s="29">
        <f>PEARSON('Wskaźniki finansowe'!C7:K7,'Dane wyjściowe'!D16:L16)</f>
        <v>-0.75798900985394413</v>
      </c>
      <c r="G21" s="29">
        <f>PEARSON('Wskaźniki finansowe'!C7:K7,'Dane wyjściowe'!D13:L13)</f>
        <v>-0.74712001420862895</v>
      </c>
      <c r="H21" s="29">
        <f>PEARSON('Wskaźniki finansowe'!C7:K7,'Dane wyjściowe'!D5:L5)</f>
        <v>-0.72866290189851879</v>
      </c>
      <c r="I21" s="29">
        <f>PEARSON('Wskaźniki finansowe'!C7:K7,'Dane wyjściowe'!D9:L9)</f>
        <v>-0.43094124403982509</v>
      </c>
      <c r="J21" s="29">
        <f>PEARSON('Wskaźniki finansowe'!C7:K7,'Dane wyjściowe'!D29:L29)</f>
        <v>-0.50599581561048179</v>
      </c>
      <c r="K21" s="120">
        <f>PEARSON('Wskaźniki finansowe'!C7:K7,'Dane wyjściowe'!D31:L31)</f>
        <v>-0.75773653323237811</v>
      </c>
    </row>
    <row r="22" spans="2:11" x14ac:dyDescent="0.25">
      <c r="B22" s="118" t="s">
        <v>24</v>
      </c>
      <c r="C22" s="123">
        <f>PEARSON('Wskaźniki finansowe'!C8:K8,'Dane wyjściowe'!D10:L10)</f>
        <v>0.13292096945598644</v>
      </c>
      <c r="D22" s="29">
        <f>PEARSON('Wskaźniki finansowe'!C8:K8,'Dane wyjściowe'!D11:L11)</f>
        <v>-0.51680797873247775</v>
      </c>
      <c r="E22" s="29">
        <f>PEARSON('Wskaźniki finansowe'!C8:K8,'Dane wyjściowe'!D12:L12)</f>
        <v>0.14017771526329459</v>
      </c>
      <c r="F22" s="29">
        <f>PEARSON('Wskaźniki finansowe'!C8:K8,'Dane wyjściowe'!D16:L16)</f>
        <v>-0.18625102299543933</v>
      </c>
      <c r="G22" s="29">
        <f>PEARSON('Wskaźniki finansowe'!C8:K8,'Dane wyjściowe'!D13:L13)</f>
        <v>-0.1899172972115101</v>
      </c>
      <c r="H22" s="29">
        <f>PEARSON('Wskaźniki finansowe'!C8:K8,'Dane wyjściowe'!D5:L5)</f>
        <v>-0.25589431673727775</v>
      </c>
      <c r="I22" s="29">
        <f>PEARSON('Wskaźniki finansowe'!C8:K8,'Dane wyjściowe'!D9:L9)</f>
        <v>-0.43973167868826091</v>
      </c>
      <c r="J22" s="29">
        <f>PEARSON('Wskaźniki finansowe'!C8:K8,'Dane wyjściowe'!D29:L29)</f>
        <v>-0.33084856337868973</v>
      </c>
      <c r="K22" s="120">
        <f>PEARSON('Wskaźniki finansowe'!C8:K8,'Dane wyjściowe'!D31:L31)</f>
        <v>-0.22775543775244383</v>
      </c>
    </row>
    <row r="23" spans="2:11" x14ac:dyDescent="0.25">
      <c r="B23" s="118" t="s">
        <v>25</v>
      </c>
      <c r="C23" s="123">
        <f>PEARSON('Wskaźniki finansowe'!$C$9:$K$9,'Dane wyjściowe'!D10:L10)</f>
        <v>-0.62734681246445789</v>
      </c>
      <c r="D23" s="29">
        <f>PEARSON('Wskaźniki finansowe'!$D$9:$K$9,'Dane wyjściowe'!D11:K11)</f>
        <v>-0.22897758599715012</v>
      </c>
      <c r="E23" s="29">
        <f>PEARSON('Wskaźniki finansowe'!$C$9:$K$9,'Dane wyjściowe'!D12:L12)</f>
        <v>-0.31808832211944515</v>
      </c>
      <c r="F23" s="29">
        <f>PEARSON('Wskaźniki finansowe'!$C$9:$K$9,'Dane wyjściowe'!D16:L16)</f>
        <v>-0.15569716633372349</v>
      </c>
      <c r="G23" s="29">
        <f>PEARSON('Wskaźniki finansowe'!$C$9:$K$9,'Dane wyjściowe'!D13:L13)</f>
        <v>-0.2952274569487594</v>
      </c>
      <c r="H23" s="29">
        <f>PEARSON('Wskaźniki finansowe'!$C$9:$K$9,'Dane wyjściowe'!D5:L5)</f>
        <v>-0.20739351937477093</v>
      </c>
      <c r="I23" s="29">
        <f>PEARSON('Wskaźniki finansowe'!$C$9:$K$9,'Dane wyjściowe'!D9:L9)</f>
        <v>0.39097346588169657</v>
      </c>
      <c r="J23" s="29">
        <f>PEARSON('Wskaźniki finansowe'!$C$9:$K$9,'Dane wyjściowe'!D29:L29)</f>
        <v>-0.51617960579193933</v>
      </c>
      <c r="K23" s="120">
        <f>PEARSON('Wskaźniki finansowe'!$C$9:$K$9,'Dane wyjściowe'!D31:L31)</f>
        <v>-0.24016113328875668</v>
      </c>
    </row>
    <row r="24" spans="2:11" x14ac:dyDescent="0.25">
      <c r="B24" s="118" t="s">
        <v>26</v>
      </c>
      <c r="C24" s="123">
        <f>PEARSON('Wskaźniki finansowe'!C10:K10,'Dane wyjściowe'!D10:L10)</f>
        <v>-0.62118657996734217</v>
      </c>
      <c r="D24" s="29">
        <f>PEARSON('Wskaźniki finansowe'!C10:K10,'Dane wyjściowe'!D11:L11)</f>
        <v>0.54090333547523317</v>
      </c>
      <c r="E24" s="29">
        <f>PEARSON('Wskaźniki finansowe'!C10:K10,'Dane wyjściowe'!D12:L12)</f>
        <v>-0.34568935013378288</v>
      </c>
      <c r="F24" s="29">
        <f>PEARSON('Wskaźniki finansowe'!C10:K10,'Dane wyjściowe'!D16:L16)</f>
        <v>-0.209551301988887</v>
      </c>
      <c r="G24" s="29">
        <f>PEARSON('Wskaźniki finansowe'!C10:K10,'Dane wyjściowe'!D13:L13)</f>
        <v>-0.36618003014968131</v>
      </c>
      <c r="H24" s="102">
        <f>+C11</f>
        <v>-0.26277571365198515</v>
      </c>
      <c r="I24" s="103">
        <f>+C10</f>
        <v>0.29950034584082919</v>
      </c>
      <c r="J24" s="29">
        <f>PEARSON('Wskaźniki finansowe'!C10:K10,'Dane wyjściowe'!D29:L29)</f>
        <v>-0.60787895910413026</v>
      </c>
      <c r="K24" s="120">
        <f>PEARSON('Wskaźniki finansowe'!C10:K10,'Dane wyjściowe'!D31:L31)</f>
        <v>-0.31770650701251657</v>
      </c>
    </row>
    <row r="25" spans="2:11" x14ac:dyDescent="0.25">
      <c r="B25" s="118" t="s">
        <v>27</v>
      </c>
      <c r="C25" s="123">
        <f>PEARSON('Wskaźniki finansowe'!C11:K11,'Dane wyjściowe'!D10:L10)</f>
        <v>-0.69329569139985481</v>
      </c>
      <c r="D25" s="29">
        <f>PEARSON('Wskaźniki finansowe'!C11:K11,'Dane wyjściowe'!D11:L11)</f>
        <v>0.55235739835768516</v>
      </c>
      <c r="E25" s="29">
        <f>PEARSON('Wskaźniki finansowe'!C11:K11,'Dane wyjściowe'!D12:L12)</f>
        <v>-0.43611389957163343</v>
      </c>
      <c r="F25" s="29">
        <f>PEARSON('Wskaźniki finansowe'!C11:K11,'Dane wyjściowe'!D16:L16)</f>
        <v>-0.31304170487428074</v>
      </c>
      <c r="G25" s="29">
        <f>PEARSON('Wskaźniki finansowe'!C11:K11,'Dane wyjściowe'!D13:L13)</f>
        <v>-0.45237244270339727</v>
      </c>
      <c r="H25" s="29">
        <f>PEARSON('Wskaźniki finansowe'!C11:K11,'Dane wyjściowe'!D5:L5)</f>
        <v>-0.37952102125488191</v>
      </c>
      <c r="I25" s="29">
        <f>PEARSON('Wskaźniki finansowe'!C11:K11,'Dane wyjściowe'!D9:L9)</f>
        <v>0.23077359561692415</v>
      </c>
      <c r="J25" s="29">
        <f>PEARSON('Wskaźniki finansowe'!C11:K11,'Dane wyjściowe'!D29:L29)</f>
        <v>-0.63207624872735857</v>
      </c>
      <c r="K25" s="120">
        <f>PEARSON('Wskaźniki finansowe'!C11:K11,'Dane wyjściowe'!D31:L31)</f>
        <v>-0.40976217210954802</v>
      </c>
    </row>
    <row r="26" spans="2:11" ht="15.75" thickBot="1" x14ac:dyDescent="0.3">
      <c r="B26" s="119" t="s">
        <v>28</v>
      </c>
      <c r="C26" s="124"/>
      <c r="D26" s="121"/>
      <c r="E26" s="121"/>
      <c r="F26" s="121"/>
      <c r="G26" s="121"/>
      <c r="H26" s="121"/>
      <c r="I26" s="121"/>
      <c r="J26" s="121"/>
      <c r="K26" s="122"/>
    </row>
    <row r="27" spans="2:11" x14ac:dyDescent="0.25">
      <c r="B27" s="34" t="s">
        <v>57</v>
      </c>
      <c r="C27" s="21"/>
      <c r="D27" s="21"/>
      <c r="E27" s="21"/>
      <c r="F27" s="21"/>
      <c r="G27" s="21"/>
      <c r="H27" s="21"/>
      <c r="I27" s="21"/>
      <c r="J27" s="21"/>
      <c r="K27" s="21"/>
    </row>
    <row r="28" spans="2:11" ht="14.45" x14ac:dyDescent="0.3">
      <c r="C28" s="22"/>
      <c r="D28" s="22"/>
    </row>
    <row r="29" spans="2:11" ht="14.45" x14ac:dyDescent="0.3">
      <c r="C29" s="22"/>
    </row>
    <row r="30" spans="2:11" x14ac:dyDescent="0.25">
      <c r="B30" s="104" t="s">
        <v>74</v>
      </c>
      <c r="C30" s="31"/>
      <c r="D30" s="31"/>
    </row>
    <row r="31" spans="2:11" ht="14.45" x14ac:dyDescent="0.3">
      <c r="C31" s="188"/>
      <c r="D31" s="188"/>
    </row>
    <row r="32" spans="2:11" ht="14.45" x14ac:dyDescent="0.3">
      <c r="C32" s="187"/>
      <c r="D32" s="187"/>
    </row>
    <row r="33" spans="2:11" x14ac:dyDescent="0.25">
      <c r="B33" s="105" t="s">
        <v>75</v>
      </c>
      <c r="C33" s="21"/>
      <c r="D33" s="21"/>
      <c r="K33" s="106"/>
    </row>
    <row r="34" spans="2:11" ht="14.45" x14ac:dyDescent="0.3">
      <c r="C34" s="21"/>
      <c r="D34" s="21"/>
    </row>
    <row r="35" spans="2:11" ht="14.45" x14ac:dyDescent="0.3">
      <c r="C35" s="21"/>
      <c r="D35" s="21"/>
    </row>
    <row r="37" spans="2:11" ht="14.45" x14ac:dyDescent="0.3">
      <c r="C37" s="21"/>
      <c r="D37" s="21"/>
    </row>
    <row r="38" spans="2:11" ht="14.45" x14ac:dyDescent="0.3">
      <c r="C38" s="21"/>
      <c r="D38" s="21"/>
    </row>
    <row r="39" spans="2:11" ht="14.45" x14ac:dyDescent="0.3">
      <c r="C39" s="21"/>
      <c r="D39" s="21"/>
    </row>
  </sheetData>
  <mergeCells count="12">
    <mergeCell ref="K18:K19"/>
    <mergeCell ref="C32:D32"/>
    <mergeCell ref="C31:D31"/>
    <mergeCell ref="B18:B19"/>
    <mergeCell ref="C18:C19"/>
    <mergeCell ref="D18:D19"/>
    <mergeCell ref="J18:J19"/>
    <mergeCell ref="E18:E19"/>
    <mergeCell ref="F18:F19"/>
    <mergeCell ref="G18:G19"/>
    <mergeCell ref="H18:H19"/>
    <mergeCell ref="I18:I1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8"/>
  <sheetViews>
    <sheetView topLeftCell="A25" zoomScale="104" workbookViewId="0">
      <selection activeCell="B48" sqref="B48"/>
    </sheetView>
  </sheetViews>
  <sheetFormatPr defaultRowHeight="15" x14ac:dyDescent="0.25"/>
  <cols>
    <col min="2" max="2" width="30.28515625" bestFit="1" customWidth="1"/>
    <col min="3" max="5" width="9.28515625" bestFit="1" customWidth="1"/>
    <col min="10" max="11" width="9.28515625" bestFit="1" customWidth="1"/>
  </cols>
  <sheetData>
    <row r="2" spans="2:11" x14ac:dyDescent="0.25">
      <c r="B2" s="1" t="s">
        <v>77</v>
      </c>
    </row>
    <row r="3" spans="2:11" thickBot="1" x14ac:dyDescent="0.35"/>
    <row r="4" spans="2:11" ht="15.75" thickBot="1" x14ac:dyDescent="0.3">
      <c r="B4" s="77" t="s">
        <v>19</v>
      </c>
      <c r="C4" s="63">
        <v>2009</v>
      </c>
      <c r="D4" s="64">
        <v>2010</v>
      </c>
      <c r="E4" s="64">
        <v>2011</v>
      </c>
      <c r="F4" s="64">
        <v>2012</v>
      </c>
      <c r="G4" s="64">
        <v>2013</v>
      </c>
      <c r="H4" s="64">
        <v>2014</v>
      </c>
      <c r="I4" s="64">
        <v>2015</v>
      </c>
      <c r="J4" s="64">
        <v>2016</v>
      </c>
      <c r="K4" s="138">
        <v>2017</v>
      </c>
    </row>
    <row r="5" spans="2:11" ht="14.45" x14ac:dyDescent="0.3">
      <c r="B5" s="76" t="s">
        <v>5</v>
      </c>
      <c r="C5" s="143">
        <f>'Dane wyjściowe'!D10</f>
        <v>695294</v>
      </c>
      <c r="D5" s="46">
        <f>'Dane wyjściowe'!E10</f>
        <v>773479</v>
      </c>
      <c r="E5" s="46">
        <f>'Dane wyjściowe'!F10</f>
        <v>475080</v>
      </c>
      <c r="F5" s="46">
        <f>'Dane wyjściowe'!G10</f>
        <v>491516</v>
      </c>
      <c r="G5" s="46">
        <f>'Dane wyjściowe'!H10</f>
        <v>570997</v>
      </c>
      <c r="H5" s="46">
        <f>'Dane wyjściowe'!I10</f>
        <v>712315</v>
      </c>
      <c r="I5" s="46">
        <f>'Dane wyjściowe'!J10</f>
        <v>954211</v>
      </c>
      <c r="J5" s="46">
        <f>'Dane wyjściowe'!K10</f>
        <v>832586</v>
      </c>
      <c r="K5" s="47">
        <f>'Dane wyjściowe'!L10</f>
        <v>1102972</v>
      </c>
    </row>
    <row r="6" spans="2:11" x14ac:dyDescent="0.25">
      <c r="B6" s="54" t="s">
        <v>10</v>
      </c>
      <c r="C6" s="35">
        <f>'Dane wyjściowe'!D11</f>
        <v>245660</v>
      </c>
      <c r="D6" s="3">
        <f>'Dane wyjściowe'!E11</f>
        <v>258902</v>
      </c>
      <c r="E6" s="3">
        <f>'Dane wyjściowe'!F11</f>
        <v>344260</v>
      </c>
      <c r="F6" s="3">
        <f>'Dane wyjściowe'!G11</f>
        <v>475043</v>
      </c>
      <c r="G6" s="3">
        <f>'Dane wyjściowe'!H11</f>
        <v>800158</v>
      </c>
      <c r="H6" s="3">
        <f>'Dane wyjściowe'!I11</f>
        <v>466834</v>
      </c>
      <c r="I6" s="3">
        <f>'Dane wyjściowe'!J11</f>
        <v>417435</v>
      </c>
      <c r="J6" s="3">
        <f>'Dane wyjściowe'!K11</f>
        <v>294500</v>
      </c>
      <c r="K6" s="39">
        <f>'Dane wyjściowe'!L11</f>
        <v>313210</v>
      </c>
    </row>
    <row r="7" spans="2:11" x14ac:dyDescent="0.25">
      <c r="B7" s="54" t="s">
        <v>7</v>
      </c>
      <c r="C7" s="35">
        <f>'Dane wyjściowe'!D16</f>
        <v>206610</v>
      </c>
      <c r="D7" s="3">
        <f>'Dane wyjściowe'!E16</f>
        <v>293322</v>
      </c>
      <c r="E7" s="3">
        <f>'Dane wyjściowe'!F16</f>
        <v>359443</v>
      </c>
      <c r="F7" s="3">
        <f>'Dane wyjściowe'!G16</f>
        <v>444550</v>
      </c>
      <c r="G7" s="3">
        <f>'Dane wyjściowe'!H16</f>
        <v>520922</v>
      </c>
      <c r="H7" s="3">
        <f>'Dane wyjściowe'!I16</f>
        <v>572153</v>
      </c>
      <c r="I7" s="3">
        <f>'Dane wyjściowe'!J16</f>
        <v>654814</v>
      </c>
      <c r="J7" s="3">
        <f>'Dane wyjściowe'!K16</f>
        <v>792684</v>
      </c>
      <c r="K7" s="39">
        <f>'Dane wyjściowe'!L16</f>
        <v>1215568</v>
      </c>
    </row>
    <row r="8" spans="2:11" x14ac:dyDescent="0.25">
      <c r="B8" s="54" t="s">
        <v>14</v>
      </c>
      <c r="C8" s="35">
        <f>'Dane wyjściowe'!D12</f>
        <v>161992</v>
      </c>
      <c r="D8" s="3">
        <f>'Dane wyjściowe'!E12</f>
        <v>96470</v>
      </c>
      <c r="E8" s="3">
        <f>'Dane wyjściowe'!F12</f>
        <v>116996</v>
      </c>
      <c r="F8" s="3">
        <f>'Dane wyjściowe'!G12</f>
        <v>159393</v>
      </c>
      <c r="G8" s="3">
        <f>'Dane wyjściowe'!H12</f>
        <v>149355</v>
      </c>
      <c r="H8" s="3">
        <f>'Dane wyjściowe'!I12</f>
        <v>183529</v>
      </c>
      <c r="I8" s="3">
        <f>'Dane wyjściowe'!J12</f>
        <v>224447</v>
      </c>
      <c r="J8" s="3">
        <f>'Dane wyjściowe'!K12</f>
        <v>365753</v>
      </c>
      <c r="K8" s="39">
        <f>'Dane wyjściowe'!L12</f>
        <v>514790</v>
      </c>
    </row>
    <row r="9" spans="2:11" x14ac:dyDescent="0.25">
      <c r="B9" s="54" t="s">
        <v>11</v>
      </c>
      <c r="C9" s="134">
        <f>(C5+C6+'Dane wyjściowe'!D12)/C7</f>
        <v>5.3382992110740037</v>
      </c>
      <c r="D9" s="7">
        <f>(D5+D6+'Dane wyjściowe'!E12)/D7</f>
        <v>3.848504374032633</v>
      </c>
      <c r="E9" s="7">
        <f>(E5+E6+'Dane wyjściowe'!F12)/E7</f>
        <v>2.604963791199161</v>
      </c>
      <c r="F9" s="7">
        <f>(F5+F6+'Dane wyjściowe'!G12)/F7</f>
        <v>2.5327904622652122</v>
      </c>
      <c r="G9" s="7">
        <f>(G5+G6+'Dane wyjściowe'!H12)/G7</f>
        <v>2.9188822894790389</v>
      </c>
      <c r="H9" s="7">
        <f>(H5+H6+'Dane wyjściowe'!I12)/H7</f>
        <v>2.3816671414813868</v>
      </c>
      <c r="I9" s="7">
        <f>(I5+I6+'Dane wyjściowe'!J12)/I7</f>
        <v>2.4374753746865521</v>
      </c>
      <c r="J9" s="7">
        <f>(J5+J6+'Dane wyjściowe'!K12)/J7</f>
        <v>1.8832712657250557</v>
      </c>
      <c r="K9" s="68">
        <f>(K5+K6+'Dane wyjściowe'!L12)/K7</f>
        <v>1.5885347426059258</v>
      </c>
    </row>
    <row r="10" spans="2:11" x14ac:dyDescent="0.25">
      <c r="B10" s="54" t="s">
        <v>12</v>
      </c>
      <c r="C10" s="134">
        <f>(C6+C8)/C7</f>
        <v>1.9730506751851313</v>
      </c>
      <c r="D10" s="7">
        <f>(D6+D8)/D7</f>
        <v>1.2115422641329323</v>
      </c>
      <c r="E10" s="7">
        <f>(E6+E8)/E7</f>
        <v>1.2832521428988741</v>
      </c>
      <c r="F10" s="7">
        <f>(F6+F8)/F7</f>
        <v>1.4271420537622315</v>
      </c>
      <c r="G10" s="7">
        <f t="shared" ref="G10" si="0">(G6+G8)/G7</f>
        <v>1.8227546542476609</v>
      </c>
      <c r="H10" s="7">
        <f>(H6+H8)/H7</f>
        <v>1.1366942059204443</v>
      </c>
      <c r="I10" s="7">
        <f>(I6+I8)/I7</f>
        <v>0.98025088040267927</v>
      </c>
      <c r="J10" s="7">
        <f>(J6+J8)/J7</f>
        <v>0.83293342618243837</v>
      </c>
      <c r="K10" s="68">
        <f>(K6+K8)/K7</f>
        <v>0.68116304476590372</v>
      </c>
    </row>
    <row r="11" spans="2:11" ht="15.75" thickBot="1" x14ac:dyDescent="0.3">
      <c r="B11" s="55" t="s">
        <v>13</v>
      </c>
      <c r="C11" s="140">
        <f>C8/C7</f>
        <v>0.78404723875901461</v>
      </c>
      <c r="D11" s="141">
        <f>D8/D7</f>
        <v>0.32888770702504416</v>
      </c>
      <c r="E11" s="141">
        <f>E8/E7</f>
        <v>0.32549249811513925</v>
      </c>
      <c r="F11" s="141">
        <f>F8/F7</f>
        <v>0.35854909459003487</v>
      </c>
      <c r="G11" s="141">
        <f t="shared" ref="G11" si="1">G8/G7</f>
        <v>0.28671279001462791</v>
      </c>
      <c r="H11" s="141">
        <f>H8/H7</f>
        <v>0.3207690949798393</v>
      </c>
      <c r="I11" s="141">
        <f>I8/I7</f>
        <v>0.34276451022733173</v>
      </c>
      <c r="J11" s="141">
        <f>J8/J7</f>
        <v>0.46141085224376926</v>
      </c>
      <c r="K11" s="142">
        <f>K8/K7</f>
        <v>0.42349749253024099</v>
      </c>
    </row>
    <row r="12" spans="2:11" x14ac:dyDescent="0.25">
      <c r="B12" s="34" t="s">
        <v>57</v>
      </c>
    </row>
    <row r="13" spans="2:11" ht="14.45" x14ac:dyDescent="0.3">
      <c r="B13" s="107"/>
    </row>
    <row r="14" spans="2:11" x14ac:dyDescent="0.25">
      <c r="B14" s="95" t="s">
        <v>78</v>
      </c>
    </row>
    <row r="15" spans="2:11" ht="14.45" x14ac:dyDescent="0.3">
      <c r="B15" s="107"/>
    </row>
    <row r="16" spans="2:11" x14ac:dyDescent="0.25">
      <c r="B16" t="s">
        <v>15</v>
      </c>
    </row>
    <row r="17" spans="1:11" ht="14.45" x14ac:dyDescent="0.3">
      <c r="A17">
        <v>100</v>
      </c>
      <c r="C17" s="6">
        <f>A17/100</f>
        <v>1</v>
      </c>
      <c r="D17" s="6">
        <f>C17</f>
        <v>1</v>
      </c>
      <c r="E17" s="6">
        <f t="shared" ref="E17:K17" si="2">D17</f>
        <v>1</v>
      </c>
      <c r="F17" s="6">
        <f t="shared" si="2"/>
        <v>1</v>
      </c>
      <c r="G17" s="6">
        <f t="shared" si="2"/>
        <v>1</v>
      </c>
      <c r="H17" s="6">
        <f t="shared" si="2"/>
        <v>1</v>
      </c>
      <c r="I17" s="6">
        <f t="shared" si="2"/>
        <v>1</v>
      </c>
      <c r="J17" s="6">
        <f t="shared" si="2"/>
        <v>1</v>
      </c>
      <c r="K17" s="6">
        <f t="shared" si="2"/>
        <v>1</v>
      </c>
    </row>
    <row r="18" spans="1:11" ht="14.45" x14ac:dyDescent="0.3">
      <c r="C18" s="3">
        <f>+C17*K5</f>
        <v>1102972</v>
      </c>
      <c r="D18" s="3">
        <f>+D17*J5</f>
        <v>832586</v>
      </c>
      <c r="E18" s="3">
        <f>+E17*I5</f>
        <v>954211</v>
      </c>
      <c r="F18" s="3">
        <f>+F17*H5</f>
        <v>712315</v>
      </c>
      <c r="G18" s="3">
        <f t="shared" ref="G18" si="3">+G17*G5</f>
        <v>570997</v>
      </c>
      <c r="H18" s="3">
        <f>+H17*F5</f>
        <v>491516</v>
      </c>
      <c r="I18" s="3">
        <f>+I17*E5</f>
        <v>475080</v>
      </c>
      <c r="J18" s="3">
        <f>+J17*D5</f>
        <v>773479</v>
      </c>
      <c r="K18" s="3">
        <f>+K17*C5</f>
        <v>695294</v>
      </c>
    </row>
    <row r="20" spans="1:11" x14ac:dyDescent="0.25">
      <c r="B20" t="s">
        <v>16</v>
      </c>
    </row>
    <row r="21" spans="1:11" ht="14.45" x14ac:dyDescent="0.3">
      <c r="A21">
        <v>100</v>
      </c>
      <c r="C21" s="6">
        <f>A21/100</f>
        <v>1</v>
      </c>
      <c r="D21" s="6">
        <f>C21</f>
        <v>1</v>
      </c>
      <c r="E21" s="6">
        <f t="shared" ref="E21:K21" si="4">D21</f>
        <v>1</v>
      </c>
      <c r="F21" s="6">
        <f t="shared" si="4"/>
        <v>1</v>
      </c>
      <c r="G21" s="6">
        <f t="shared" si="4"/>
        <v>1</v>
      </c>
      <c r="H21" s="6">
        <f t="shared" si="4"/>
        <v>1</v>
      </c>
      <c r="I21" s="6">
        <f t="shared" si="4"/>
        <v>1</v>
      </c>
      <c r="J21" s="6">
        <f t="shared" si="4"/>
        <v>1</v>
      </c>
      <c r="K21" s="6">
        <f t="shared" si="4"/>
        <v>1</v>
      </c>
    </row>
    <row r="22" spans="1:11" ht="14.45" x14ac:dyDescent="0.3">
      <c r="C22" s="3">
        <f>C21*K6</f>
        <v>313210</v>
      </c>
      <c r="D22" s="3">
        <f>D21*J6</f>
        <v>294500</v>
      </c>
      <c r="E22" s="3">
        <f>E21*I6</f>
        <v>417435</v>
      </c>
      <c r="F22" s="3">
        <f>F21*H6</f>
        <v>466834</v>
      </c>
      <c r="G22" s="3">
        <f t="shared" ref="G22" si="5">G21*G6</f>
        <v>800158</v>
      </c>
      <c r="H22" s="3">
        <f>H21*F6</f>
        <v>475043</v>
      </c>
      <c r="I22" s="3">
        <f>I21*E6</f>
        <v>344260</v>
      </c>
      <c r="J22" s="3">
        <f>J21*D6</f>
        <v>258902</v>
      </c>
      <c r="K22" s="3">
        <f>K21*C6</f>
        <v>245660</v>
      </c>
    </row>
    <row r="24" spans="1:11" x14ac:dyDescent="0.25">
      <c r="B24" t="s">
        <v>17</v>
      </c>
    </row>
    <row r="25" spans="1:11" ht="14.45" x14ac:dyDescent="0.3">
      <c r="A25">
        <v>100</v>
      </c>
      <c r="C25" s="6">
        <f>A25/100</f>
        <v>1</v>
      </c>
      <c r="D25" s="6">
        <f>C25</f>
        <v>1</v>
      </c>
      <c r="E25" s="6">
        <f t="shared" ref="E25:K25" si="6">D25</f>
        <v>1</v>
      </c>
      <c r="F25" s="6">
        <f t="shared" si="6"/>
        <v>1</v>
      </c>
      <c r="G25" s="6">
        <f t="shared" si="6"/>
        <v>1</v>
      </c>
      <c r="H25" s="6">
        <f t="shared" si="6"/>
        <v>1</v>
      </c>
      <c r="I25" s="6">
        <f t="shared" si="6"/>
        <v>1</v>
      </c>
      <c r="J25" s="6">
        <f t="shared" si="6"/>
        <v>1</v>
      </c>
      <c r="K25" s="6">
        <f t="shared" si="6"/>
        <v>1</v>
      </c>
    </row>
    <row r="26" spans="1:11" ht="14.45" x14ac:dyDescent="0.3">
      <c r="C26" s="3">
        <f>C25*K7</f>
        <v>1215568</v>
      </c>
      <c r="D26" s="3">
        <f>D25*J7</f>
        <v>792684</v>
      </c>
      <c r="E26" s="3">
        <f>E25*I7</f>
        <v>654814</v>
      </c>
      <c r="F26" s="3">
        <f>F25*H7</f>
        <v>572153</v>
      </c>
      <c r="G26" s="3">
        <f t="shared" ref="G26" si="7">G25*G7</f>
        <v>520922</v>
      </c>
      <c r="H26" s="3">
        <f>H25*F7</f>
        <v>444550</v>
      </c>
      <c r="I26" s="3">
        <f>I25*E7</f>
        <v>359443</v>
      </c>
      <c r="J26" s="3">
        <f>J25*D7</f>
        <v>293322</v>
      </c>
      <c r="K26" s="3">
        <f>K25*C7</f>
        <v>206610</v>
      </c>
    </row>
    <row r="28" spans="1:11" x14ac:dyDescent="0.25">
      <c r="B28" t="s">
        <v>18</v>
      </c>
    </row>
    <row r="29" spans="1:11" ht="14.45" x14ac:dyDescent="0.3">
      <c r="A29">
        <v>100</v>
      </c>
      <c r="C29" s="6">
        <f>A29/100</f>
        <v>1</v>
      </c>
      <c r="D29" s="6">
        <f>C29</f>
        <v>1</v>
      </c>
      <c r="E29" s="6">
        <f t="shared" ref="E29:K29" si="8">D29</f>
        <v>1</v>
      </c>
      <c r="F29" s="6">
        <f t="shared" si="8"/>
        <v>1</v>
      </c>
      <c r="G29" s="6">
        <f t="shared" si="8"/>
        <v>1</v>
      </c>
      <c r="H29" s="6">
        <f t="shared" si="8"/>
        <v>1</v>
      </c>
      <c r="I29" s="6">
        <f t="shared" si="8"/>
        <v>1</v>
      </c>
      <c r="J29" s="6">
        <f t="shared" si="8"/>
        <v>1</v>
      </c>
      <c r="K29" s="6">
        <f t="shared" si="8"/>
        <v>1</v>
      </c>
    </row>
    <row r="30" spans="1:11" ht="14.45" x14ac:dyDescent="0.3">
      <c r="C30" s="3">
        <f>C29*K8</f>
        <v>514790</v>
      </c>
      <c r="D30" s="3">
        <f>D29*J8</f>
        <v>365753</v>
      </c>
      <c r="E30" s="3">
        <f>E29*I8</f>
        <v>224447</v>
      </c>
      <c r="F30" s="3">
        <f>F29*H8</f>
        <v>183529</v>
      </c>
      <c r="G30" s="3">
        <f t="shared" ref="G30" si="9">G29*G8</f>
        <v>149355</v>
      </c>
      <c r="H30" s="3">
        <f>H29*F8</f>
        <v>159393</v>
      </c>
      <c r="I30" s="3">
        <f>I29*E8</f>
        <v>116996</v>
      </c>
      <c r="J30" s="3">
        <f>J29*D8</f>
        <v>96470</v>
      </c>
      <c r="K30" s="3">
        <f>K29*C8</f>
        <v>161992</v>
      </c>
    </row>
    <row r="33" spans="2:11" x14ac:dyDescent="0.25">
      <c r="B33" s="1" t="s">
        <v>76</v>
      </c>
    </row>
    <row r="34" spans="2:11" thickBot="1" x14ac:dyDescent="0.35"/>
    <row r="35" spans="2:11" ht="15.75" thickBot="1" x14ac:dyDescent="0.3">
      <c r="B35" s="137" t="s">
        <v>80</v>
      </c>
      <c r="C35" s="63">
        <v>2009</v>
      </c>
      <c r="D35" s="64">
        <v>2010</v>
      </c>
      <c r="E35" s="64">
        <v>2011</v>
      </c>
      <c r="F35" s="64">
        <v>2012</v>
      </c>
      <c r="G35" s="64">
        <v>2013</v>
      </c>
      <c r="H35" s="64">
        <v>2014</v>
      </c>
      <c r="I35" s="64">
        <v>2015</v>
      </c>
      <c r="J35" s="64">
        <v>2016</v>
      </c>
      <c r="K35" s="138">
        <v>2017</v>
      </c>
    </row>
    <row r="36" spans="2:11" x14ac:dyDescent="0.25">
      <c r="B36" s="76" t="s">
        <v>11</v>
      </c>
      <c r="C36" s="135">
        <f>(K18+K22+K30)/K26</f>
        <v>5.3382992110740037</v>
      </c>
      <c r="D36" s="136">
        <f>(J18+J22+J30)/J26</f>
        <v>3.848504374032633</v>
      </c>
      <c r="E36" s="136">
        <f>(I18+I22+I30)/I26</f>
        <v>2.604963791199161</v>
      </c>
      <c r="F36" s="136">
        <f>(H18+H22+H30)/H26</f>
        <v>2.5327904622652122</v>
      </c>
      <c r="G36" s="136">
        <f t="shared" ref="G36" si="10">(G18+G22+G30)/G26</f>
        <v>2.9188822894790389</v>
      </c>
      <c r="H36" s="136">
        <f>(F18+F22+F30)/F26</f>
        <v>2.3816671414813868</v>
      </c>
      <c r="I36" s="136">
        <f>(E18+E22+E30)/E26</f>
        <v>2.4374753746865521</v>
      </c>
      <c r="J36" s="136">
        <f>(D18+D22+D30)/D26</f>
        <v>1.8832712657250557</v>
      </c>
      <c r="K36" s="139">
        <f>(C18+C22+C30)/C26</f>
        <v>1.5885347426059258</v>
      </c>
    </row>
    <row r="37" spans="2:11" x14ac:dyDescent="0.25">
      <c r="B37" s="54" t="s">
        <v>12</v>
      </c>
      <c r="C37" s="134">
        <f>(K22+K30)/K26</f>
        <v>1.9730506751851313</v>
      </c>
      <c r="D37" s="7">
        <f>(J22+J30)/J26</f>
        <v>1.2115422641329323</v>
      </c>
      <c r="E37" s="7">
        <f>(I22+I30)/I26</f>
        <v>1.2832521428988741</v>
      </c>
      <c r="F37" s="7">
        <f>(H22+H30)/H26</f>
        <v>1.4271420537622315</v>
      </c>
      <c r="G37" s="7">
        <f t="shared" ref="G37" si="11">(G22+G30)/G26</f>
        <v>1.8227546542476609</v>
      </c>
      <c r="H37" s="7">
        <f>(F22+F30)/F26</f>
        <v>1.1366942059204443</v>
      </c>
      <c r="I37" s="7">
        <f>(E22+E30)/E26</f>
        <v>0.98025088040267927</v>
      </c>
      <c r="J37" s="7">
        <f>(D22+D30)/D26</f>
        <v>0.83293342618243837</v>
      </c>
      <c r="K37" s="68">
        <f>(C22+C30)/C26</f>
        <v>0.68116304476590372</v>
      </c>
    </row>
    <row r="38" spans="2:11" ht="15.75" thickBot="1" x14ac:dyDescent="0.3">
      <c r="B38" s="55" t="s">
        <v>13</v>
      </c>
      <c r="C38" s="140">
        <f>K30/K26</f>
        <v>0.78404723875901461</v>
      </c>
      <c r="D38" s="141">
        <f>J30/J26</f>
        <v>0.32888770702504416</v>
      </c>
      <c r="E38" s="141">
        <f>I30/I26</f>
        <v>0.32549249811513925</v>
      </c>
      <c r="F38" s="141">
        <f>H30/H26</f>
        <v>0.35854909459003487</v>
      </c>
      <c r="G38" s="141">
        <f t="shared" ref="G38" si="12">G30/G26</f>
        <v>0.28671279001462791</v>
      </c>
      <c r="H38" s="141">
        <f>F30/F26</f>
        <v>0.3207690949798393</v>
      </c>
      <c r="I38" s="141">
        <f>E30/E26</f>
        <v>0.34276451022733173</v>
      </c>
      <c r="J38" s="141">
        <f>D30/D26</f>
        <v>0.46141085224376926</v>
      </c>
      <c r="K38" s="142">
        <f>C30/C26</f>
        <v>0.42349749253024099</v>
      </c>
    </row>
    <row r="39" spans="2:11" x14ac:dyDescent="0.25">
      <c r="B39" s="34" t="s">
        <v>57</v>
      </c>
    </row>
    <row r="42" spans="2:11" x14ac:dyDescent="0.25">
      <c r="B42" s="1" t="s">
        <v>79</v>
      </c>
    </row>
    <row r="43" spans="2:11" thickBot="1" x14ac:dyDescent="0.35"/>
    <row r="44" spans="2:11" ht="15.75" thickBot="1" x14ac:dyDescent="0.3">
      <c r="B44" s="137" t="s">
        <v>80</v>
      </c>
      <c r="C44" s="63">
        <v>2009</v>
      </c>
      <c r="D44" s="64">
        <v>2010</v>
      </c>
      <c r="E44" s="64">
        <v>2011</v>
      </c>
      <c r="F44" s="64">
        <v>2012</v>
      </c>
      <c r="G44" s="64">
        <v>2013</v>
      </c>
      <c r="H44" s="64">
        <v>2014</v>
      </c>
      <c r="I44" s="64">
        <v>2015</v>
      </c>
      <c r="J44" s="64">
        <v>2016</v>
      </c>
      <c r="K44" s="138">
        <v>2017</v>
      </c>
    </row>
    <row r="45" spans="2:11" x14ac:dyDescent="0.25">
      <c r="B45" s="76" t="s">
        <v>11</v>
      </c>
      <c r="C45" s="135">
        <f>+C9-C36</f>
        <v>0</v>
      </c>
      <c r="D45" s="136">
        <f t="shared" ref="D45:K45" si="13">+D9-D36</f>
        <v>0</v>
      </c>
      <c r="E45" s="136">
        <f t="shared" si="13"/>
        <v>0</v>
      </c>
      <c r="F45" s="136">
        <f t="shared" si="13"/>
        <v>0</v>
      </c>
      <c r="G45" s="136">
        <f t="shared" si="13"/>
        <v>0</v>
      </c>
      <c r="H45" s="136">
        <f t="shared" si="13"/>
        <v>0</v>
      </c>
      <c r="I45" s="136">
        <f t="shared" si="13"/>
        <v>0</v>
      </c>
      <c r="J45" s="136">
        <f t="shared" si="13"/>
        <v>0</v>
      </c>
      <c r="K45" s="139">
        <f t="shared" si="13"/>
        <v>0</v>
      </c>
    </row>
    <row r="46" spans="2:11" x14ac:dyDescent="0.25">
      <c r="B46" s="54" t="s">
        <v>12</v>
      </c>
      <c r="C46" s="134">
        <f t="shared" ref="C46:K46" si="14">+C10-C37</f>
        <v>0</v>
      </c>
      <c r="D46" s="7">
        <f t="shared" si="14"/>
        <v>0</v>
      </c>
      <c r="E46" s="7">
        <f t="shared" si="14"/>
        <v>0</v>
      </c>
      <c r="F46" s="7">
        <f t="shared" si="14"/>
        <v>0</v>
      </c>
      <c r="G46" s="7">
        <f t="shared" si="14"/>
        <v>0</v>
      </c>
      <c r="H46" s="7">
        <f t="shared" si="14"/>
        <v>0</v>
      </c>
      <c r="I46" s="7">
        <f t="shared" si="14"/>
        <v>0</v>
      </c>
      <c r="J46" s="7">
        <f t="shared" si="14"/>
        <v>0</v>
      </c>
      <c r="K46" s="68">
        <f t="shared" si="14"/>
        <v>0</v>
      </c>
    </row>
    <row r="47" spans="2:11" ht="15.75" thickBot="1" x14ac:dyDescent="0.3">
      <c r="B47" s="55" t="s">
        <v>13</v>
      </c>
      <c r="C47" s="140">
        <f t="shared" ref="C47:K47" si="15">+C11-C38</f>
        <v>0</v>
      </c>
      <c r="D47" s="141">
        <f t="shared" si="15"/>
        <v>0</v>
      </c>
      <c r="E47" s="141">
        <f t="shared" si="15"/>
        <v>0</v>
      </c>
      <c r="F47" s="141">
        <f t="shared" si="15"/>
        <v>0</v>
      </c>
      <c r="G47" s="141">
        <f t="shared" si="15"/>
        <v>0</v>
      </c>
      <c r="H47" s="141">
        <f t="shared" si="15"/>
        <v>0</v>
      </c>
      <c r="I47" s="141">
        <f t="shared" si="15"/>
        <v>0</v>
      </c>
      <c r="J47" s="141">
        <f t="shared" si="15"/>
        <v>0</v>
      </c>
      <c r="K47" s="142">
        <f t="shared" si="15"/>
        <v>0</v>
      </c>
    </row>
    <row r="48" spans="2:11" x14ac:dyDescent="0.25">
      <c r="B48" s="34" t="s">
        <v>57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1</xdr:col>
                    <xdr:colOff>38100</xdr:colOff>
                    <xdr:row>20</xdr:row>
                    <xdr:rowOff>47625</xdr:rowOff>
                  </from>
                  <to>
                    <xdr:col>1</xdr:col>
                    <xdr:colOff>762000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1</xdr:col>
                    <xdr:colOff>28575</xdr:colOff>
                    <xdr:row>24</xdr:row>
                    <xdr:rowOff>57150</xdr:rowOff>
                  </from>
                  <to>
                    <xdr:col>1</xdr:col>
                    <xdr:colOff>752475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croll Bar 3">
              <controlPr defaultSize="0" autoPict="0">
                <anchor moveWithCells="1">
                  <from>
                    <xdr:col>1</xdr:col>
                    <xdr:colOff>28575</xdr:colOff>
                    <xdr:row>16</xdr:row>
                    <xdr:rowOff>28575</xdr:rowOff>
                  </from>
                  <to>
                    <xdr:col>1</xdr:col>
                    <xdr:colOff>752475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Scroll Bar 4">
              <controlPr defaultSize="0" autoPict="0">
                <anchor moveWithCells="1">
                  <from>
                    <xdr:col>1</xdr:col>
                    <xdr:colOff>0</xdr:colOff>
                    <xdr:row>28</xdr:row>
                    <xdr:rowOff>85725</xdr:rowOff>
                  </from>
                  <to>
                    <xdr:col>1</xdr:col>
                    <xdr:colOff>723900</xdr:colOff>
                    <xdr:row>30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opLeftCell="A5" zoomScale="88" workbookViewId="0">
      <selection activeCell="A29" sqref="A29"/>
    </sheetView>
  </sheetViews>
  <sheetFormatPr defaultColWidth="8.85546875" defaultRowHeight="15" x14ac:dyDescent="0.25"/>
  <cols>
    <col min="1" max="1" width="8.85546875" style="154"/>
    <col min="2" max="2" width="31.28515625" style="154" bestFit="1" customWidth="1"/>
    <col min="3" max="7" width="13.28515625" style="154" bestFit="1" customWidth="1"/>
    <col min="8" max="11" width="13.28515625" style="154" customWidth="1"/>
    <col min="12" max="12" width="16.85546875" style="154" customWidth="1"/>
    <col min="13" max="13" width="18.140625" style="154" customWidth="1"/>
    <col min="14" max="14" width="17.85546875" style="154" customWidth="1"/>
    <col min="15" max="15" width="17.7109375" style="154" customWidth="1"/>
    <col min="16" max="16" width="27.5703125" style="154" customWidth="1"/>
    <col min="17" max="17" width="27.42578125" style="154" customWidth="1"/>
    <col min="18" max="16384" width="8.85546875" style="154"/>
  </cols>
  <sheetData>
    <row r="2" spans="1:17" ht="14.45" x14ac:dyDescent="0.3">
      <c r="C2" s="155"/>
    </row>
    <row r="3" spans="1:17" x14ac:dyDescent="0.25">
      <c r="B3" s="1" t="s">
        <v>101</v>
      </c>
    </row>
    <row r="4" spans="1:17" thickBot="1" x14ac:dyDescent="0.35"/>
    <row r="5" spans="1:17" ht="34.9" customHeight="1" thickBot="1" x14ac:dyDescent="0.3">
      <c r="B5" s="77" t="s">
        <v>84</v>
      </c>
      <c r="C5" s="63">
        <v>2009</v>
      </c>
      <c r="D5" s="64">
        <v>2010</v>
      </c>
      <c r="E5" s="64">
        <v>2011</v>
      </c>
      <c r="F5" s="64">
        <v>2012</v>
      </c>
      <c r="G5" s="64">
        <v>2013</v>
      </c>
      <c r="H5" s="64">
        <v>2014</v>
      </c>
      <c r="I5" s="64">
        <v>2015</v>
      </c>
      <c r="J5" s="64">
        <v>2016</v>
      </c>
      <c r="K5" s="64">
        <v>2017</v>
      </c>
      <c r="L5" s="64" t="s">
        <v>39</v>
      </c>
      <c r="M5" s="64" t="s">
        <v>32</v>
      </c>
      <c r="N5" s="166" t="s">
        <v>85</v>
      </c>
      <c r="O5" s="166" t="s">
        <v>86</v>
      </c>
      <c r="P5" s="64" t="s">
        <v>87</v>
      </c>
      <c r="Q5" s="138" t="s">
        <v>88</v>
      </c>
    </row>
    <row r="6" spans="1:17" ht="14.45" x14ac:dyDescent="0.3">
      <c r="B6" s="162" t="s">
        <v>89</v>
      </c>
      <c r="C6" s="135">
        <f>+'Dane wyjściowe'!D5</f>
        <v>1610798</v>
      </c>
      <c r="D6" s="135">
        <f>+'Dane wyjściowe'!E5</f>
        <v>1841665</v>
      </c>
      <c r="E6" s="135">
        <f>+'Dane wyjściowe'!F5</f>
        <v>2170410</v>
      </c>
      <c r="F6" s="135">
        <f>+'Dane wyjściowe'!G5</f>
        <v>2765275</v>
      </c>
      <c r="G6" s="135">
        <f>+'Dane wyjściowe'!H5</f>
        <v>3493356</v>
      </c>
      <c r="H6" s="135">
        <f>+'Dane wyjściowe'!I5</f>
        <v>4000397</v>
      </c>
      <c r="I6" s="135">
        <f>+'Dane wyjściowe'!J5</f>
        <v>4335753</v>
      </c>
      <c r="J6" s="135">
        <f>+'Dane wyjściowe'!K5</f>
        <v>4740877</v>
      </c>
      <c r="K6" s="135">
        <f>+'Dane wyjściowe'!L5</f>
        <v>5623900</v>
      </c>
      <c r="L6" s="136">
        <f>AVERAGE(C6:K6)</f>
        <v>3398047.888888889</v>
      </c>
      <c r="M6" s="136">
        <f>_xlfn.STDEV.S(C6:K6)</f>
        <v>1393417.2375224198</v>
      </c>
      <c r="N6" s="136">
        <f>M6/L6</f>
        <v>0.41006403767253746</v>
      </c>
      <c r="O6" s="136">
        <f>PEARSON(C6:K6,C9:K9)</f>
        <v>0.37578086548711542</v>
      </c>
      <c r="P6" s="136"/>
      <c r="Q6" s="139"/>
    </row>
    <row r="7" spans="1:17" ht="14.45" x14ac:dyDescent="0.3">
      <c r="A7" s="167">
        <v>0.6</v>
      </c>
      <c r="B7" s="163" t="s">
        <v>90</v>
      </c>
      <c r="C7" s="134">
        <f>'Dane wyjściowe'!C6*$A$7</f>
        <v>386380.2</v>
      </c>
      <c r="D7" s="134">
        <f>'Dane wyjściowe'!D6*$A$7</f>
        <v>507503.39999999997</v>
      </c>
      <c r="E7" s="134">
        <f>'Dane wyjściowe'!E6*$A$7</f>
        <v>568016.4</v>
      </c>
      <c r="F7" s="134">
        <f>'Dane wyjściowe'!F6*$A$7</f>
        <v>654091.19999999995</v>
      </c>
      <c r="G7" s="134">
        <f>'Dane wyjściowe'!G6*$A$7</f>
        <v>859344</v>
      </c>
      <c r="H7" s="134">
        <f>'Dane wyjściowe'!H6*$A$7</f>
        <v>1070372.3999999999</v>
      </c>
      <c r="I7" s="134">
        <f>'Dane wyjściowe'!I6*$A$7</f>
        <v>1244010.5999999999</v>
      </c>
      <c r="J7" s="134">
        <f>'Dane wyjściowe'!J6*$A$7</f>
        <v>1513629</v>
      </c>
      <c r="K7" s="134">
        <f>'Dane wyjściowe'!K6*$A$7</f>
        <v>1782903</v>
      </c>
      <c r="L7" s="7">
        <f t="shared" ref="L7:L9" si="0">AVERAGE(C7:K7)</f>
        <v>954027.79999999993</v>
      </c>
      <c r="M7" s="7">
        <f t="shared" ref="M7:M9" si="1">_xlfn.STDEV.S(C7:K7)</f>
        <v>483134.72693630715</v>
      </c>
      <c r="N7" s="7">
        <f t="shared" ref="N7:N9" si="2">M7/L7</f>
        <v>0.50641577419054995</v>
      </c>
      <c r="O7" s="7"/>
      <c r="P7" s="7">
        <f>PEARSON(C7:K7,C9:K9)</f>
        <v>0.44997358844783281</v>
      </c>
      <c r="Q7" s="68"/>
    </row>
    <row r="8" spans="1:17" ht="14.45" x14ac:dyDescent="0.3">
      <c r="B8" s="163" t="s">
        <v>2</v>
      </c>
      <c r="C8" s="134">
        <f>'Dane wyjściowe'!D7</f>
        <v>195214</v>
      </c>
      <c r="D8" s="134">
        <f>'Dane wyjściowe'!E7</f>
        <v>174285</v>
      </c>
      <c r="E8" s="134">
        <f>'Dane wyjściowe'!F7</f>
        <v>279145</v>
      </c>
      <c r="F8" s="134">
        <f>'Dane wyjściowe'!G7</f>
        <v>403493</v>
      </c>
      <c r="G8" s="134">
        <f>'Dane wyjściowe'!H7</f>
        <v>514507</v>
      </c>
      <c r="H8" s="134">
        <f>'Dane wyjściowe'!I7</f>
        <v>477389</v>
      </c>
      <c r="I8" s="134">
        <f>'Dane wyjściowe'!J7</f>
        <v>248455</v>
      </c>
      <c r="J8" s="134">
        <f>'Dane wyjściowe'!K7</f>
        <v>5662</v>
      </c>
      <c r="K8" s="134">
        <f>'Dane wyjściowe'!L7</f>
        <v>231639</v>
      </c>
      <c r="L8" s="7">
        <f t="shared" si="0"/>
        <v>281087.66666666669</v>
      </c>
      <c r="M8" s="7">
        <f t="shared" si="1"/>
        <v>160528.85016641091</v>
      </c>
      <c r="N8" s="7">
        <f t="shared" si="2"/>
        <v>0.57109887484596467</v>
      </c>
      <c r="O8" s="7"/>
      <c r="P8" s="7"/>
      <c r="Q8" s="68">
        <f>PEARSON(C9:K9,C8:K8)</f>
        <v>-0.65073474201329051</v>
      </c>
    </row>
    <row r="9" spans="1:17" ht="15.75" thickBot="1" x14ac:dyDescent="0.3">
      <c r="B9" s="165" t="s">
        <v>91</v>
      </c>
      <c r="C9" s="140">
        <f>(C6-C7)/C8</f>
        <v>6.2721823229891305</v>
      </c>
      <c r="D9" s="141">
        <f t="shared" ref="D9:K9" si="3">(D6-D7)/D8</f>
        <v>7.6550569469547014</v>
      </c>
      <c r="E9" s="141">
        <f t="shared" si="3"/>
        <v>5.7403628938365365</v>
      </c>
      <c r="F9" s="141">
        <f t="shared" si="3"/>
        <v>5.232268713459713</v>
      </c>
      <c r="G9" s="141">
        <f t="shared" si="3"/>
        <v>5.1194871984249</v>
      </c>
      <c r="H9" s="141">
        <f t="shared" si="3"/>
        <v>6.1376039246819678</v>
      </c>
      <c r="I9" s="141">
        <f t="shared" si="3"/>
        <v>12.443872733492988</v>
      </c>
      <c r="J9" s="141">
        <f t="shared" si="3"/>
        <v>569.98375132462024</v>
      </c>
      <c r="K9" s="141">
        <f t="shared" si="3"/>
        <v>16.581823440785016</v>
      </c>
      <c r="L9" s="141">
        <f t="shared" si="0"/>
        <v>70.574045499916139</v>
      </c>
      <c r="M9" s="141">
        <f t="shared" si="1"/>
        <v>187.31896874996571</v>
      </c>
      <c r="N9" s="141">
        <f t="shared" si="2"/>
        <v>2.6542189472500666</v>
      </c>
      <c r="O9" s="141"/>
      <c r="P9" s="141"/>
      <c r="Q9" s="142"/>
    </row>
    <row r="10" spans="1:17" ht="18.75" x14ac:dyDescent="0.3">
      <c r="B10" s="34" t="s">
        <v>57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</row>
    <row r="11" spans="1:17" ht="18" x14ac:dyDescent="0.35">
      <c r="B11" s="107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</row>
    <row r="12" spans="1:17" ht="18.75" x14ac:dyDescent="0.3">
      <c r="B12" s="95" t="s">
        <v>104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</row>
    <row r="13" spans="1:17" ht="18" x14ac:dyDescent="0.35">
      <c r="B13" s="107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</row>
    <row r="14" spans="1:17" ht="18" x14ac:dyDescent="0.35"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</row>
    <row r="15" spans="1:17" ht="18.75" x14ac:dyDescent="0.3">
      <c r="B15" s="1" t="s">
        <v>102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</row>
    <row r="16" spans="1:17" ht="18.600000000000001" thickBot="1" x14ac:dyDescent="0.4"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</row>
    <row r="17" spans="2:17" ht="37.9" customHeight="1" thickBot="1" x14ac:dyDescent="0.3">
      <c r="B17" s="77" t="s">
        <v>93</v>
      </c>
      <c r="C17" s="158">
        <v>2009</v>
      </c>
      <c r="D17" s="64">
        <v>2010</v>
      </c>
      <c r="E17" s="64">
        <v>2011</v>
      </c>
      <c r="F17" s="64">
        <v>2012</v>
      </c>
      <c r="G17" s="64">
        <v>2013</v>
      </c>
      <c r="H17" s="64">
        <v>2014</v>
      </c>
      <c r="I17" s="64">
        <v>2015</v>
      </c>
      <c r="J17" s="64">
        <v>2016</v>
      </c>
      <c r="K17" s="64">
        <v>2017</v>
      </c>
      <c r="L17" s="64" t="s">
        <v>39</v>
      </c>
      <c r="M17" s="64" t="s">
        <v>32</v>
      </c>
      <c r="N17" s="166" t="s">
        <v>85</v>
      </c>
      <c r="O17" s="166" t="s">
        <v>88</v>
      </c>
      <c r="P17" s="138" t="s">
        <v>94</v>
      </c>
      <c r="Q17" s="157"/>
    </row>
    <row r="18" spans="2:17" ht="18" x14ac:dyDescent="0.35">
      <c r="B18" s="162" t="s">
        <v>2</v>
      </c>
      <c r="C18" s="159">
        <f>C8</f>
        <v>195214</v>
      </c>
      <c r="D18" s="136">
        <f t="shared" ref="D18:K18" si="4">D8</f>
        <v>174285</v>
      </c>
      <c r="E18" s="136">
        <f t="shared" si="4"/>
        <v>279145</v>
      </c>
      <c r="F18" s="136">
        <f t="shared" si="4"/>
        <v>403493</v>
      </c>
      <c r="G18" s="136">
        <f t="shared" si="4"/>
        <v>514507</v>
      </c>
      <c r="H18" s="136">
        <f t="shared" si="4"/>
        <v>477389</v>
      </c>
      <c r="I18" s="136">
        <f t="shared" si="4"/>
        <v>248455</v>
      </c>
      <c r="J18" s="136">
        <f t="shared" si="4"/>
        <v>5662</v>
      </c>
      <c r="K18" s="136">
        <f t="shared" si="4"/>
        <v>231639</v>
      </c>
      <c r="L18" s="136">
        <f t="shared" ref="L18:L20" si="5">AVERAGE(C18:K18)</f>
        <v>281087.66666666669</v>
      </c>
      <c r="M18" s="136">
        <f t="shared" ref="M18:M20" si="6">_xlfn.STDEV.S(C18:K18)</f>
        <v>160528.85016641091</v>
      </c>
      <c r="N18" s="136">
        <f t="shared" ref="N18:N20" si="7">M18/L18</f>
        <v>0.57109887484596467</v>
      </c>
      <c r="O18" s="136">
        <f>PEARSON(C20:K20,C18:K18)</f>
        <v>0.56594630782715083</v>
      </c>
      <c r="P18" s="139"/>
      <c r="Q18" s="156"/>
    </row>
    <row r="19" spans="2:17" ht="18" x14ac:dyDescent="0.35">
      <c r="B19" s="163" t="s">
        <v>95</v>
      </c>
      <c r="C19" s="160">
        <f>'Dane wyjściowe'!D8</f>
        <v>56449</v>
      </c>
      <c r="D19" s="160">
        <f>'Dane wyjściowe'!E8</f>
        <v>49992</v>
      </c>
      <c r="E19" s="160">
        <f>'Dane wyjściowe'!F8</f>
        <v>43578</v>
      </c>
      <c r="F19" s="160">
        <f>'Dane wyjściowe'!G8</f>
        <v>99594</v>
      </c>
      <c r="G19" s="160">
        <f>'Dane wyjściowe'!H8</f>
        <v>126759</v>
      </c>
      <c r="H19" s="160">
        <f>'Dane wyjściowe'!I8</f>
        <v>391436</v>
      </c>
      <c r="I19" s="160">
        <f>'Dane wyjściowe'!J8</f>
        <v>162962</v>
      </c>
      <c r="J19" s="160">
        <f>'Dane wyjściowe'!K8</f>
        <v>74361</v>
      </c>
      <c r="K19" s="160">
        <f>'Dane wyjściowe'!L8</f>
        <v>21441</v>
      </c>
      <c r="L19" s="7">
        <f t="shared" si="5"/>
        <v>114063.55555555556</v>
      </c>
      <c r="M19" s="7">
        <f t="shared" si="6"/>
        <v>113051.49194848239</v>
      </c>
      <c r="N19" s="7">
        <f t="shared" si="7"/>
        <v>0.99112719569240293</v>
      </c>
      <c r="O19" s="7"/>
      <c r="P19" s="68">
        <f>PEARSON(C20:K20,C19:K19)</f>
        <v>0.91697585238837032</v>
      </c>
      <c r="Q19" s="156"/>
    </row>
    <row r="20" spans="2:17" ht="19.5" thickBot="1" x14ac:dyDescent="0.35">
      <c r="B20" s="165" t="s">
        <v>96</v>
      </c>
      <c r="C20" s="161">
        <f>C18/(C18-C19)</f>
        <v>1.4067956617302635</v>
      </c>
      <c r="D20" s="141">
        <f t="shared" ref="D20:K20" si="8">D18/(D18-D19)</f>
        <v>1.4022109048779898</v>
      </c>
      <c r="E20" s="141">
        <f t="shared" si="8"/>
        <v>1.1849919555795168</v>
      </c>
      <c r="F20" s="141">
        <f t="shared" si="8"/>
        <v>1.3277207230033663</v>
      </c>
      <c r="G20" s="141">
        <f t="shared" si="8"/>
        <v>1.3269107771026543</v>
      </c>
      <c r="H20" s="141">
        <f t="shared" si="8"/>
        <v>5.5540702476935069</v>
      </c>
      <c r="I20" s="141">
        <f t="shared" si="8"/>
        <v>2.9061443626963612</v>
      </c>
      <c r="J20" s="141">
        <f t="shared" si="8"/>
        <v>-8.2417502438172321E-2</v>
      </c>
      <c r="K20" s="141">
        <f t="shared" si="8"/>
        <v>1.102003824965033</v>
      </c>
      <c r="L20" s="141">
        <f t="shared" si="5"/>
        <v>1.7920478839122798</v>
      </c>
      <c r="M20" s="141">
        <f t="shared" si="6"/>
        <v>1.600182247553197</v>
      </c>
      <c r="N20" s="141">
        <f t="shared" si="7"/>
        <v>0.89293498344463074</v>
      </c>
      <c r="O20" s="141"/>
      <c r="P20" s="142"/>
      <c r="Q20" s="156"/>
    </row>
    <row r="21" spans="2:17" ht="18.75" x14ac:dyDescent="0.3">
      <c r="B21" s="34" t="s">
        <v>57</v>
      </c>
      <c r="N21" s="164"/>
    </row>
    <row r="22" spans="2:17" ht="14.45" x14ac:dyDescent="0.3">
      <c r="B22" s="1"/>
    </row>
    <row r="23" spans="2:17" x14ac:dyDescent="0.25">
      <c r="B23" s="1" t="s">
        <v>103</v>
      </c>
    </row>
    <row r="24" spans="2:17" thickBot="1" x14ac:dyDescent="0.35"/>
    <row r="25" spans="2:17" ht="34.15" customHeight="1" thickBot="1" x14ac:dyDescent="0.3">
      <c r="B25" s="77" t="s">
        <v>97</v>
      </c>
      <c r="C25" s="158">
        <v>2009</v>
      </c>
      <c r="D25" s="64">
        <v>2010</v>
      </c>
      <c r="E25" s="64">
        <v>2011</v>
      </c>
      <c r="F25" s="64">
        <v>2012</v>
      </c>
      <c r="G25" s="64">
        <v>2013</v>
      </c>
      <c r="H25" s="64">
        <v>2014</v>
      </c>
      <c r="I25" s="64">
        <v>2015</v>
      </c>
      <c r="J25" s="64">
        <v>2016</v>
      </c>
      <c r="K25" s="64">
        <v>2017</v>
      </c>
      <c r="L25" s="64" t="s">
        <v>39</v>
      </c>
      <c r="M25" s="64" t="s">
        <v>32</v>
      </c>
      <c r="N25" s="166" t="s">
        <v>85</v>
      </c>
      <c r="O25" s="166" t="s">
        <v>98</v>
      </c>
      <c r="P25" s="138" t="s">
        <v>99</v>
      </c>
    </row>
    <row r="26" spans="2:17" ht="14.45" x14ac:dyDescent="0.3">
      <c r="B26" s="162" t="s">
        <v>83</v>
      </c>
      <c r="C26" s="159">
        <f>C9</f>
        <v>6.2721823229891305</v>
      </c>
      <c r="D26" s="136">
        <f t="shared" ref="D26:G26" si="9">D9</f>
        <v>7.6550569469547014</v>
      </c>
      <c r="E26" s="136">
        <f t="shared" si="9"/>
        <v>5.7403628938365365</v>
      </c>
      <c r="F26" s="136">
        <f t="shared" si="9"/>
        <v>5.232268713459713</v>
      </c>
      <c r="G26" s="136">
        <f t="shared" si="9"/>
        <v>5.1194871984249</v>
      </c>
      <c r="H26" s="136">
        <f t="shared" ref="H26:K26" si="10">H9</f>
        <v>6.1376039246819678</v>
      </c>
      <c r="I26" s="136">
        <f t="shared" si="10"/>
        <v>12.443872733492988</v>
      </c>
      <c r="J26" s="136">
        <f t="shared" si="10"/>
        <v>569.98375132462024</v>
      </c>
      <c r="K26" s="136">
        <f t="shared" si="10"/>
        <v>16.581823440785016</v>
      </c>
      <c r="L26" s="136">
        <f t="shared" ref="L26:L28" si="11">AVERAGE(C26:K26)</f>
        <v>70.574045499916139</v>
      </c>
      <c r="M26" s="136">
        <f t="shared" ref="M26:M28" si="12">_xlfn.STDEV.S(C26:K26)</f>
        <v>187.31896874996571</v>
      </c>
      <c r="N26" s="168">
        <f t="shared" ref="N26:N28" si="13">M26/L26</f>
        <v>2.6542189472500666</v>
      </c>
      <c r="O26" s="136">
        <f>PEARSON(C28:K28,C26:K26)</f>
        <v>-0.87148839877388184</v>
      </c>
      <c r="P26" s="139"/>
    </row>
    <row r="27" spans="2:17" ht="14.45" x14ac:dyDescent="0.3">
      <c r="B27" s="163" t="s">
        <v>92</v>
      </c>
      <c r="C27" s="160">
        <f>C20</f>
        <v>1.4067956617302635</v>
      </c>
      <c r="D27" s="7">
        <f t="shared" ref="D27:G27" si="14">D20</f>
        <v>1.4022109048779898</v>
      </c>
      <c r="E27" s="7">
        <f t="shared" si="14"/>
        <v>1.1849919555795168</v>
      </c>
      <c r="F27" s="7">
        <f t="shared" si="14"/>
        <v>1.3277207230033663</v>
      </c>
      <c r="G27" s="7">
        <f t="shared" si="14"/>
        <v>1.3269107771026543</v>
      </c>
      <c r="H27" s="7">
        <f t="shared" ref="H27:K27" si="15">H20</f>
        <v>5.5540702476935069</v>
      </c>
      <c r="I27" s="7">
        <f t="shared" si="15"/>
        <v>2.9061443626963612</v>
      </c>
      <c r="J27" s="7">
        <f t="shared" si="15"/>
        <v>-8.2417502438172321E-2</v>
      </c>
      <c r="K27" s="7">
        <f t="shared" si="15"/>
        <v>1.102003824965033</v>
      </c>
      <c r="L27" s="7">
        <f t="shared" si="11"/>
        <v>1.7920478839122798</v>
      </c>
      <c r="M27" s="7">
        <f t="shared" si="12"/>
        <v>1.600182247553197</v>
      </c>
      <c r="N27" s="169">
        <f t="shared" si="13"/>
        <v>0.89293498344463074</v>
      </c>
      <c r="O27" s="7"/>
      <c r="P27" s="68">
        <f>PEARSON(C27:K27,C28:K28)</f>
        <v>0.73555583189433049</v>
      </c>
    </row>
    <row r="28" spans="2:17" thickBot="1" x14ac:dyDescent="0.35">
      <c r="B28" s="165" t="s">
        <v>100</v>
      </c>
      <c r="C28" s="161">
        <f>+C26*C27</f>
        <v>8.8236788815623548</v>
      </c>
      <c r="D28" s="141">
        <f t="shared" ref="D28:G28" si="16">+D26*D27</f>
        <v>10.734004328481895</v>
      </c>
      <c r="E28" s="141">
        <f t="shared" si="16"/>
        <v>6.8022838513034509</v>
      </c>
      <c r="F28" s="141">
        <f t="shared" si="16"/>
        <v>6.9469915991826232</v>
      </c>
      <c r="G28" s="141">
        <f t="shared" si="16"/>
        <v>6.7931027368290744</v>
      </c>
      <c r="H28" s="141">
        <f t="shared" ref="H28:K28" si="17">+H26*H27</f>
        <v>34.08868335020302</v>
      </c>
      <c r="I28" s="141">
        <f t="shared" si="17"/>
        <v>36.163690594551603</v>
      </c>
      <c r="J28" s="141">
        <f t="shared" si="17"/>
        <v>-46.976637214515492</v>
      </c>
      <c r="K28" s="141">
        <f t="shared" si="17"/>
        <v>18.273232856639932</v>
      </c>
      <c r="L28" s="141">
        <f t="shared" si="11"/>
        <v>9.0721145538042762</v>
      </c>
      <c r="M28" s="141">
        <f t="shared" si="12"/>
        <v>23.988515823422308</v>
      </c>
      <c r="N28" s="170">
        <f t="shared" si="13"/>
        <v>2.644203364182943</v>
      </c>
      <c r="O28" s="141"/>
      <c r="P28" s="142"/>
    </row>
    <row r="29" spans="2:17" x14ac:dyDescent="0.25">
      <c r="B29" s="34" t="s">
        <v>57</v>
      </c>
    </row>
  </sheetData>
  <conditionalFormatting sqref="N21">
    <cfRule type="cellIs" dxfId="4" priority="6" operator="greaterThan">
      <formula>0.6</formula>
    </cfRule>
  </conditionalFormatting>
  <conditionalFormatting sqref="N21">
    <cfRule type="cellIs" dxfId="3" priority="5" operator="greaterThan">
      <formula>0.6</formula>
    </cfRule>
  </conditionalFormatting>
  <conditionalFormatting sqref="N26:N28">
    <cfRule type="cellIs" dxfId="2" priority="3" operator="greaterThan">
      <formula>0.6</formula>
    </cfRule>
  </conditionalFormatting>
  <conditionalFormatting sqref="N26:N28">
    <cfRule type="cellIs" dxfId="1" priority="2" operator="greaterThan">
      <formula>0.6</formula>
    </cfRule>
  </conditionalFormatting>
  <conditionalFormatting sqref="N26:N28">
    <cfRule type="cellIs" dxfId="0" priority="1" operator="greaterThan">
      <formula>0.6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Dane wyjściowe</vt:lpstr>
      <vt:lpstr>Zmienność parametrów</vt:lpstr>
      <vt:lpstr>Wskaźniki finansowe</vt:lpstr>
      <vt:lpstr>Korelacja </vt:lpstr>
      <vt:lpstr>Zmienność wskaźników płynności</vt:lpstr>
      <vt:lpstr>Dzwignie</vt:lpstr>
      <vt:lpstr>Kapitał obrotowy netto</vt:lpstr>
    </vt:vector>
  </TitlesOfParts>
  <Company>Uniwersyet Gdański, Wydział Zarządzania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Chmielewski</dc:creator>
  <cp:lastModifiedBy>Justyna Poniewierska</cp:lastModifiedBy>
  <dcterms:created xsi:type="dcterms:W3CDTF">2019-10-31T10:23:42Z</dcterms:created>
  <dcterms:modified xsi:type="dcterms:W3CDTF">2020-04-24T13:18:17Z</dcterms:modified>
</cp:coreProperties>
</file>